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1-Publicaicones\2020\covid19\Update 29122020\"/>
    </mc:Choice>
  </mc:AlternateContent>
  <bookViews>
    <workbookView xWindow="0" yWindow="0" windowWidth="23040" windowHeight="8520"/>
  </bookViews>
  <sheets>
    <sheet name="Bienes" sheetId="1" r:id="rId1"/>
    <sheet name="Hoja2" sheetId="3" r:id="rId2"/>
    <sheet name="Hoja1" sheetId="2" r:id="rId3"/>
  </sheets>
  <calcPr calcId="152511"/>
  <pivotCaches>
    <pivotCache cacheId="3"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7" i="1" l="1"/>
  <c r="I147" i="1" s="1"/>
  <c r="G183" i="2" l="1"/>
  <c r="G182" i="2"/>
  <c r="F181" i="2"/>
  <c r="G181" i="2" s="1"/>
  <c r="F180" i="2"/>
  <c r="G180" i="2" s="1"/>
  <c r="F179" i="2"/>
  <c r="G179" i="2" s="1"/>
  <c r="F178" i="2"/>
  <c r="G178" i="2" s="1"/>
  <c r="F177" i="2"/>
  <c r="G177" i="2" s="1"/>
  <c r="F176" i="2"/>
  <c r="G176" i="2" s="1"/>
  <c r="F175" i="2"/>
  <c r="G175" i="2" s="1"/>
  <c r="D174" i="2"/>
  <c r="F174" i="2" s="1"/>
  <c r="G174" i="2" s="1"/>
  <c r="F173" i="2"/>
  <c r="G173" i="2" s="1"/>
  <c r="F172" i="2"/>
  <c r="G172" i="2" s="1"/>
  <c r="F171" i="2"/>
  <c r="G171" i="2" s="1"/>
  <c r="F170" i="2"/>
  <c r="G170" i="2" s="1"/>
  <c r="F169" i="2"/>
  <c r="G169" i="2" s="1"/>
  <c r="F168" i="2"/>
  <c r="G168" i="2" s="1"/>
  <c r="D167" i="2"/>
  <c r="F167" i="2" s="1"/>
  <c r="G167" i="2" s="1"/>
  <c r="D166" i="2"/>
  <c r="F166" i="2" s="1"/>
  <c r="G166" i="2" s="1"/>
  <c r="F165" i="2"/>
  <c r="G165" i="2" s="1"/>
  <c r="F164" i="2"/>
  <c r="G164" i="2" s="1"/>
  <c r="F163" i="2"/>
  <c r="G163" i="2" s="1"/>
  <c r="F162" i="2"/>
  <c r="G162" i="2" s="1"/>
  <c r="D161" i="2"/>
  <c r="F161" i="2" s="1"/>
  <c r="G161" i="2" s="1"/>
  <c r="D160" i="2"/>
  <c r="F160" i="2" s="1"/>
  <c r="G160" i="2" s="1"/>
  <c r="G153" i="2"/>
  <c r="G152" i="2"/>
  <c r="E130" i="2"/>
  <c r="F130" i="2" s="1"/>
  <c r="G130" i="2" s="1"/>
  <c r="E129" i="2"/>
  <c r="F129" i="2" s="1"/>
  <c r="G129" i="2" s="1"/>
  <c r="E128" i="2"/>
  <c r="F128" i="2" s="1"/>
  <c r="G128" i="2" s="1"/>
  <c r="E127" i="2"/>
  <c r="F127" i="2" s="1"/>
  <c r="F126" i="2"/>
  <c r="G126" i="2" s="1"/>
  <c r="F125" i="2"/>
  <c r="G125" i="2" s="1"/>
  <c r="F124" i="2"/>
  <c r="G124" i="2" s="1"/>
  <c r="F123" i="2"/>
  <c r="G123" i="2" s="1"/>
  <c r="F122" i="2"/>
  <c r="F121" i="2"/>
  <c r="G121" i="2" s="1"/>
  <c r="F112" i="2"/>
  <c r="G112" i="2" s="1"/>
  <c r="F111" i="2"/>
  <c r="G111" i="2" s="1"/>
  <c r="F110" i="2"/>
  <c r="G110" i="2" s="1"/>
  <c r="F109" i="2"/>
  <c r="G109" i="2" s="1"/>
  <c r="F108" i="2"/>
  <c r="G108" i="2" s="1"/>
  <c r="F107" i="2"/>
  <c r="G107" i="2" s="1"/>
  <c r="F106" i="2"/>
  <c r="G106" i="2" s="1"/>
  <c r="F105" i="2"/>
  <c r="G105" i="2" s="1"/>
  <c r="F104" i="2"/>
  <c r="G104" i="2" s="1"/>
  <c r="F103" i="2"/>
  <c r="G103" i="2" s="1"/>
  <c r="F102" i="2"/>
  <c r="G102" i="2" s="1"/>
  <c r="F101" i="2"/>
  <c r="G101" i="2" s="1"/>
  <c r="F100" i="2"/>
  <c r="G100" i="2" s="1"/>
  <c r="F99" i="2"/>
  <c r="G99" i="2" s="1"/>
  <c r="F98" i="2"/>
  <c r="G98" i="2" s="1"/>
  <c r="F97" i="2"/>
  <c r="G97" i="2" s="1"/>
  <c r="F96" i="2"/>
  <c r="G96" i="2" s="1"/>
  <c r="F87" i="2"/>
  <c r="G87" i="2" s="1"/>
  <c r="F86" i="2"/>
  <c r="G86" i="2" s="1"/>
  <c r="F85" i="2"/>
  <c r="G85" i="2" s="1"/>
  <c r="F84" i="2"/>
  <c r="G84" i="2" s="1"/>
  <c r="F83" i="2"/>
  <c r="G83" i="2" s="1"/>
  <c r="F82" i="2"/>
  <c r="G82" i="2" s="1"/>
  <c r="F81" i="2"/>
  <c r="G81" i="2" s="1"/>
  <c r="F80" i="2"/>
  <c r="G80" i="2" s="1"/>
  <c r="F79" i="2"/>
  <c r="G79" i="2" s="1"/>
  <c r="F78" i="2"/>
  <c r="G78" i="2" s="1"/>
  <c r="F77" i="2"/>
  <c r="G77" i="2" s="1"/>
  <c r="F76" i="2"/>
  <c r="G76" i="2" s="1"/>
  <c r="F75" i="2"/>
  <c r="G75" i="2" s="1"/>
  <c r="F74" i="2"/>
  <c r="G74" i="2" s="1"/>
  <c r="F73" i="2"/>
  <c r="G73" i="2" s="1"/>
  <c r="F72" i="2"/>
  <c r="G72" i="2" s="1"/>
  <c r="F71" i="2"/>
  <c r="G71" i="2" s="1"/>
  <c r="F70" i="2"/>
  <c r="G70" i="2" s="1"/>
  <c r="F69" i="2"/>
  <c r="G69" i="2" s="1"/>
  <c r="F68" i="2"/>
  <c r="G68" i="2" s="1"/>
  <c r="F67" i="2"/>
  <c r="G67" i="2" s="1"/>
  <c r="F66" i="2"/>
  <c r="G66" i="2" s="1"/>
  <c r="F65" i="2"/>
  <c r="G65" i="2" s="1"/>
  <c r="F64" i="2"/>
  <c r="G64" i="2" s="1"/>
  <c r="F63" i="2"/>
  <c r="F62" i="2"/>
  <c r="G62" i="2" s="1"/>
  <c r="F59" i="2"/>
  <c r="G59" i="2" s="1"/>
  <c r="F58" i="2"/>
  <c r="G58" i="2" s="1"/>
  <c r="F57" i="2"/>
  <c r="G57" i="2" s="1"/>
  <c r="F56" i="2"/>
  <c r="G56" i="2" s="1"/>
  <c r="F55" i="2"/>
  <c r="G55" i="2" s="1"/>
  <c r="F51" i="2"/>
  <c r="G51" i="2" s="1"/>
  <c r="F50" i="2"/>
  <c r="G50" i="2" s="1"/>
  <c r="D18" i="2"/>
  <c r="F18" i="2" s="1"/>
  <c r="G18" i="2" s="1"/>
  <c r="F17" i="2"/>
  <c r="G17" i="2" s="1"/>
  <c r="D16" i="2"/>
  <c r="F16" i="2" s="1"/>
  <c r="G16" i="2" s="1"/>
  <c r="F15" i="2"/>
  <c r="G15" i="2" s="1"/>
  <c r="D13" i="2"/>
  <c r="F13" i="2" s="1"/>
  <c r="G13" i="2" s="1"/>
  <c r="D12" i="2"/>
  <c r="F12" i="2" s="1"/>
  <c r="G12" i="2" s="1"/>
  <c r="D11" i="2"/>
  <c r="F11" i="2" s="1"/>
  <c r="G11" i="2" s="1"/>
  <c r="F10" i="2"/>
  <c r="G10" i="2" s="1"/>
  <c r="F9" i="2"/>
  <c r="G9" i="2" s="1"/>
  <c r="F8" i="2"/>
  <c r="G8" i="2" s="1"/>
  <c r="D7" i="2"/>
  <c r="F7" i="2" s="1"/>
  <c r="G7" i="2" s="1"/>
  <c r="D6" i="2"/>
  <c r="F6" i="2" s="1"/>
  <c r="G6" i="2" s="1"/>
  <c r="F5" i="2"/>
  <c r="G5" i="2" s="1"/>
  <c r="F4" i="2"/>
  <c r="G4" i="2" s="1"/>
  <c r="D3" i="2"/>
  <c r="F3" i="2" s="1"/>
  <c r="G3" i="2" s="1"/>
  <c r="D2" i="2"/>
  <c r="F2" i="2" s="1"/>
  <c r="G2" i="2" l="1"/>
  <c r="G127" i="2"/>
  <c r="G63" i="2"/>
  <c r="G122" i="2"/>
  <c r="H119" i="1" l="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l="1"/>
  <c r="I103" i="1" s="1"/>
  <c r="H61" i="1"/>
  <c r="I61" i="1" s="1"/>
  <c r="H62" i="1"/>
  <c r="I62" i="1" s="1"/>
  <c r="H63" i="1"/>
  <c r="I63" i="1" s="1"/>
  <c r="H64" i="1"/>
  <c r="I64" i="1" s="1"/>
  <c r="H65" i="1"/>
  <c r="I65" i="1" s="1"/>
  <c r="H222" i="1" l="1"/>
  <c r="H57" i="1" l="1"/>
  <c r="I57" i="1" s="1"/>
  <c r="H56" i="1"/>
  <c r="I56" i="1" s="1"/>
  <c r="I185" i="1" l="1"/>
  <c r="I184" i="1"/>
  <c r="I223" i="1" l="1"/>
  <c r="I224" i="1"/>
  <c r="I222" i="1" l="1"/>
  <c r="M224" i="1"/>
  <c r="M223" i="1"/>
  <c r="T222" i="1"/>
  <c r="S222" i="1"/>
  <c r="R222" i="1"/>
  <c r="Q222" i="1"/>
  <c r="P222" i="1"/>
  <c r="N222" i="1"/>
  <c r="H221" i="1"/>
  <c r="I221" i="1" s="1"/>
  <c r="H220" i="1"/>
  <c r="I220" i="1" s="1"/>
  <c r="H219" i="1"/>
  <c r="I219" i="1" s="1"/>
  <c r="H218" i="1"/>
  <c r="I218" i="1" s="1"/>
  <c r="H217" i="1"/>
  <c r="I217" i="1" s="1"/>
  <c r="H216" i="1"/>
  <c r="I216" i="1" s="1"/>
  <c r="H215" i="1"/>
  <c r="I215" i="1" s="1"/>
  <c r="F214" i="1"/>
  <c r="H214" i="1" s="1"/>
  <c r="I214" i="1" s="1"/>
  <c r="H213" i="1"/>
  <c r="I213" i="1" s="1"/>
  <c r="H212" i="1"/>
  <c r="I212" i="1" s="1"/>
  <c r="H211" i="1"/>
  <c r="I211" i="1" s="1"/>
  <c r="H210" i="1"/>
  <c r="I210" i="1" s="1"/>
  <c r="H209" i="1"/>
  <c r="I209" i="1" s="1"/>
  <c r="H208" i="1"/>
  <c r="I208" i="1" s="1"/>
  <c r="F207" i="1"/>
  <c r="H207" i="1" s="1"/>
  <c r="I207" i="1" s="1"/>
  <c r="F206" i="1"/>
  <c r="H206" i="1" s="1"/>
  <c r="I206" i="1" s="1"/>
  <c r="H205" i="1"/>
  <c r="I205" i="1" s="1"/>
  <c r="H204" i="1"/>
  <c r="I204" i="1" s="1"/>
  <c r="H203" i="1"/>
  <c r="I203" i="1" s="1"/>
  <c r="H202" i="1"/>
  <c r="I202" i="1" s="1"/>
  <c r="F201" i="1"/>
  <c r="H201" i="1" s="1"/>
  <c r="I201" i="1" s="1"/>
  <c r="F200" i="1"/>
  <c r="H200" i="1" s="1"/>
  <c r="I200" i="1" s="1"/>
  <c r="J163" i="1"/>
  <c r="G162" i="1"/>
  <c r="H162" i="1" s="1"/>
  <c r="G161" i="1"/>
  <c r="H161" i="1" s="1"/>
  <c r="I161" i="1" s="1"/>
  <c r="G160" i="1"/>
  <c r="H160" i="1" s="1"/>
  <c r="G159" i="1"/>
  <c r="H159" i="1" s="1"/>
  <c r="T158" i="1"/>
  <c r="T157" i="1" s="1"/>
  <c r="S158" i="1"/>
  <c r="S157" i="1" s="1"/>
  <c r="R158" i="1"/>
  <c r="R157" i="1" s="1"/>
  <c r="Q158" i="1"/>
  <c r="Q157" i="1" s="1"/>
  <c r="N158" i="1"/>
  <c r="N157" i="1" s="1"/>
  <c r="H156" i="1"/>
  <c r="I156" i="1" s="1"/>
  <c r="H155" i="1"/>
  <c r="I155" i="1" s="1"/>
  <c r="H154" i="1"/>
  <c r="H153" i="1"/>
  <c r="T152" i="1"/>
  <c r="S152" i="1"/>
  <c r="R152" i="1"/>
  <c r="Q152" i="1"/>
  <c r="P152" i="1"/>
  <c r="O152" i="1"/>
  <c r="N152" i="1"/>
  <c r="L152" i="1"/>
  <c r="M152" i="1" s="1"/>
  <c r="H151" i="1"/>
  <c r="L151" i="1" s="1"/>
  <c r="M151" i="1" s="1"/>
  <c r="H150" i="1"/>
  <c r="T149" i="1"/>
  <c r="S149" i="1"/>
  <c r="R149" i="1"/>
  <c r="Q149" i="1"/>
  <c r="P149" i="1"/>
  <c r="N149" i="1"/>
  <c r="H94" i="1"/>
  <c r="I94" i="1" s="1"/>
  <c r="H93" i="1"/>
  <c r="L93" i="1" s="1"/>
  <c r="M93" i="1" s="1"/>
  <c r="H92" i="1"/>
  <c r="L92" i="1" s="1"/>
  <c r="M92" i="1" s="1"/>
  <c r="H91" i="1"/>
  <c r="I91" i="1" s="1"/>
  <c r="H90" i="1"/>
  <c r="I90" i="1" s="1"/>
  <c r="H89" i="1"/>
  <c r="I89" i="1" s="1"/>
  <c r="H88" i="1"/>
  <c r="L88" i="1" s="1"/>
  <c r="M88" i="1" s="1"/>
  <c r="H87" i="1"/>
  <c r="L87" i="1" s="1"/>
  <c r="M87" i="1" s="1"/>
  <c r="H86" i="1"/>
  <c r="L86" i="1" s="1"/>
  <c r="M86" i="1" s="1"/>
  <c r="H85" i="1"/>
  <c r="L85" i="1" s="1"/>
  <c r="M85" i="1" s="1"/>
  <c r="H84" i="1"/>
  <c r="L84" i="1" s="1"/>
  <c r="M84" i="1" s="1"/>
  <c r="H83" i="1"/>
  <c r="L83" i="1" s="1"/>
  <c r="M83" i="1" s="1"/>
  <c r="H82" i="1"/>
  <c r="L82" i="1" s="1"/>
  <c r="M82" i="1" s="1"/>
  <c r="H81" i="1"/>
  <c r="L81" i="1" s="1"/>
  <c r="M81" i="1" s="1"/>
  <c r="H80" i="1"/>
  <c r="L80" i="1" s="1"/>
  <c r="M80" i="1" s="1"/>
  <c r="H79" i="1"/>
  <c r="L79" i="1" s="1"/>
  <c r="M79" i="1" s="1"/>
  <c r="H78" i="1"/>
  <c r="I78" i="1" s="1"/>
  <c r="H77" i="1"/>
  <c r="L77" i="1" s="1"/>
  <c r="M77" i="1" s="1"/>
  <c r="H76" i="1"/>
  <c r="L76" i="1" s="1"/>
  <c r="M76" i="1" s="1"/>
  <c r="H75" i="1"/>
  <c r="L75" i="1" s="1"/>
  <c r="M75" i="1" s="1"/>
  <c r="H74" i="1"/>
  <c r="L74" i="1" s="1"/>
  <c r="M74" i="1" s="1"/>
  <c r="H73" i="1"/>
  <c r="I73" i="1" s="1"/>
  <c r="H72" i="1"/>
  <c r="I72" i="1" s="1"/>
  <c r="H71" i="1"/>
  <c r="L71" i="1" s="1"/>
  <c r="M71" i="1" s="1"/>
  <c r="H70" i="1"/>
  <c r="H69" i="1"/>
  <c r="N68" i="1"/>
  <c r="F23" i="1"/>
  <c r="H23" i="1" s="1"/>
  <c r="H22" i="1"/>
  <c r="I22" i="1" s="1"/>
  <c r="F21" i="1"/>
  <c r="H21" i="1" s="1"/>
  <c r="H20" i="1"/>
  <c r="I20" i="1" s="1"/>
  <c r="F18" i="1"/>
  <c r="H18" i="1" s="1"/>
  <c r="I18" i="1" s="1"/>
  <c r="F17" i="1"/>
  <c r="H17" i="1" s="1"/>
  <c r="L17" i="1" s="1"/>
  <c r="M17" i="1" s="1"/>
  <c r="F16" i="1"/>
  <c r="H16" i="1" s="1"/>
  <c r="H15" i="1"/>
  <c r="I15" i="1" s="1"/>
  <c r="H14" i="1"/>
  <c r="I14" i="1" s="1"/>
  <c r="H13" i="1"/>
  <c r="I13" i="1" s="1"/>
  <c r="F12" i="1"/>
  <c r="H12" i="1" s="1"/>
  <c r="F11" i="1"/>
  <c r="H11" i="1" s="1"/>
  <c r="L11" i="1" s="1"/>
  <c r="M11" i="1" s="1"/>
  <c r="H10" i="1"/>
  <c r="L10" i="1" s="1"/>
  <c r="M10" i="1" s="1"/>
  <c r="H9" i="1"/>
  <c r="I9" i="1" s="1"/>
  <c r="L9" i="1" s="1"/>
  <c r="M9" i="1" s="1"/>
  <c r="F8" i="1"/>
  <c r="H8" i="1" s="1"/>
  <c r="I8" i="1" s="1"/>
  <c r="L8" i="1" s="1"/>
  <c r="M8" i="1" s="1"/>
  <c r="F7" i="1"/>
  <c r="H7" i="1" s="1"/>
  <c r="T6" i="1"/>
  <c r="S6" i="1"/>
  <c r="R6" i="1"/>
  <c r="N6" i="1"/>
  <c r="U5" i="1"/>
  <c r="H6" i="1" l="1"/>
  <c r="H68" i="1"/>
  <c r="H158" i="1"/>
  <c r="H152" i="1"/>
  <c r="I69" i="1"/>
  <c r="I150" i="1"/>
  <c r="H149" i="1"/>
  <c r="I153" i="1"/>
  <c r="L70" i="1"/>
  <c r="M70" i="1" s="1"/>
  <c r="O70" i="1" s="1"/>
  <c r="P70" i="1" s="1"/>
  <c r="L94" i="1"/>
  <c r="M94" i="1" s="1"/>
  <c r="P94" i="1" s="1"/>
  <c r="L89" i="1"/>
  <c r="M89" i="1" s="1"/>
  <c r="R89" i="1" s="1"/>
  <c r="L20" i="1"/>
  <c r="M20" i="1" s="1"/>
  <c r="Q20" i="1" s="1"/>
  <c r="L22" i="1"/>
  <c r="M22" i="1" s="1"/>
  <c r="Q22" i="1" s="1"/>
  <c r="U152" i="1"/>
  <c r="I83" i="1"/>
  <c r="L91" i="1"/>
  <c r="M91" i="1" s="1"/>
  <c r="R91" i="1" s="1"/>
  <c r="I16" i="1"/>
  <c r="L16" i="1"/>
  <c r="M16" i="1" s="1"/>
  <c r="Q16" i="1" s="1"/>
  <c r="I23" i="1"/>
  <c r="L23" i="1"/>
  <c r="M23" i="1" s="1"/>
  <c r="Q23" i="1" s="1"/>
  <c r="I162" i="1"/>
  <c r="L162" i="1"/>
  <c r="M162" i="1" s="1"/>
  <c r="P162" i="1" s="1"/>
  <c r="I159" i="1"/>
  <c r="L159" i="1"/>
  <c r="M159" i="1" s="1"/>
  <c r="I160" i="1"/>
  <c r="L160" i="1"/>
  <c r="M160" i="1" s="1"/>
  <c r="O160" i="1" s="1"/>
  <c r="I92" i="1"/>
  <c r="I88" i="1"/>
  <c r="O224" i="1"/>
  <c r="U224" i="1" s="1"/>
  <c r="I81" i="1"/>
  <c r="L161" i="1"/>
  <c r="M161" i="1" s="1"/>
  <c r="P161" i="1" s="1"/>
  <c r="I79" i="1"/>
  <c r="L150" i="1"/>
  <c r="M150" i="1" s="1"/>
  <c r="O150" i="1" s="1"/>
  <c r="U150" i="1" s="1"/>
  <c r="O223" i="1"/>
  <c r="U223" i="1" s="1"/>
  <c r="Q74" i="1"/>
  <c r="R74" i="1"/>
  <c r="I7" i="1"/>
  <c r="I74" i="1"/>
  <c r="L73" i="1"/>
  <c r="M73" i="1" s="1"/>
  <c r="T73" i="1" s="1"/>
  <c r="I76" i="1"/>
  <c r="I93" i="1"/>
  <c r="I70" i="1"/>
  <c r="L14" i="1"/>
  <c r="M14" i="1" s="1"/>
  <c r="Q14" i="1" s="1"/>
  <c r="I80" i="1"/>
  <c r="I82" i="1"/>
  <c r="L90" i="1"/>
  <c r="M90" i="1" s="1"/>
  <c r="Q90" i="1" s="1"/>
  <c r="L78" i="1"/>
  <c r="M78" i="1" s="1"/>
  <c r="S78" i="1" s="1"/>
  <c r="I77" i="1"/>
  <c r="I154" i="1"/>
  <c r="I151" i="1"/>
  <c r="I71" i="1"/>
  <c r="L72" i="1"/>
  <c r="M72" i="1" s="1"/>
  <c r="Q72" i="1" s="1"/>
  <c r="L7" i="1"/>
  <c r="M7" i="1" s="1"/>
  <c r="L13" i="1"/>
  <c r="M13" i="1" s="1"/>
  <c r="Q13" i="1" s="1"/>
  <c r="L15" i="1"/>
  <c r="M15" i="1" s="1"/>
  <c r="Q15" i="1" s="1"/>
  <c r="I10" i="1"/>
  <c r="I17" i="1"/>
  <c r="L18" i="1"/>
  <c r="M18" i="1" s="1"/>
  <c r="Q18" i="1" s="1"/>
  <c r="S77" i="1"/>
  <c r="R77" i="1"/>
  <c r="Q77" i="1"/>
  <c r="P77" i="1"/>
  <c r="O77" i="1"/>
  <c r="T77" i="1"/>
  <c r="S92" i="1"/>
  <c r="R92" i="1"/>
  <c r="Q92" i="1"/>
  <c r="P92" i="1"/>
  <c r="O92" i="1"/>
  <c r="T92" i="1"/>
  <c r="Q84" i="1"/>
  <c r="O84" i="1"/>
  <c r="P84" i="1" s="1"/>
  <c r="Q11" i="1"/>
  <c r="O11" i="1"/>
  <c r="P11" i="1" s="1"/>
  <c r="O71" i="1"/>
  <c r="T71" i="1"/>
  <c r="S71" i="1"/>
  <c r="P71" i="1"/>
  <c r="R71" i="1"/>
  <c r="Q71" i="1"/>
  <c r="Q85" i="1"/>
  <c r="O85" i="1"/>
  <c r="P85" i="1" s="1"/>
  <c r="L225" i="1"/>
  <c r="Q86" i="1"/>
  <c r="O86" i="1"/>
  <c r="P86" i="1" s="1"/>
  <c r="L12" i="1"/>
  <c r="M12" i="1" s="1"/>
  <c r="I12" i="1"/>
  <c r="Q8" i="1"/>
  <c r="O8" i="1"/>
  <c r="P8" i="1" s="1"/>
  <c r="L21" i="1"/>
  <c r="M21" i="1" s="1"/>
  <c r="I21" i="1"/>
  <c r="R87" i="1"/>
  <c r="Q87" i="1"/>
  <c r="P87" i="1"/>
  <c r="O87" i="1"/>
  <c r="S87" i="1"/>
  <c r="T87" i="1"/>
  <c r="P93" i="1"/>
  <c r="O93" i="1"/>
  <c r="T93" i="1"/>
  <c r="S93" i="1"/>
  <c r="Q93" i="1"/>
  <c r="R93" i="1"/>
  <c r="O151" i="1"/>
  <c r="U151" i="1" s="1"/>
  <c r="O17" i="1"/>
  <c r="P17" i="1" s="1"/>
  <c r="Q17" i="1"/>
  <c r="T75" i="1"/>
  <c r="S75" i="1"/>
  <c r="R75" i="1"/>
  <c r="O75" i="1"/>
  <c r="Q75" i="1"/>
  <c r="P75" i="1"/>
  <c r="O88" i="1"/>
  <c r="T88" i="1"/>
  <c r="S88" i="1"/>
  <c r="P88" i="1"/>
  <c r="R88" i="1"/>
  <c r="Q88" i="1"/>
  <c r="Q9" i="1"/>
  <c r="O9" i="1"/>
  <c r="P9" i="1" s="1"/>
  <c r="Q76" i="1"/>
  <c r="O76" i="1"/>
  <c r="P76" i="1" s="1"/>
  <c r="Q10" i="1"/>
  <c r="O10" i="1"/>
  <c r="P10" i="1" s="1"/>
  <c r="I11" i="1"/>
  <c r="S74" i="1"/>
  <c r="O79" i="1"/>
  <c r="P79" i="1" s="1"/>
  <c r="O80" i="1"/>
  <c r="P80" i="1" s="1"/>
  <c r="O81" i="1"/>
  <c r="P81" i="1" s="1"/>
  <c r="O82" i="1"/>
  <c r="P82" i="1" s="1"/>
  <c r="O83" i="1"/>
  <c r="I84" i="1"/>
  <c r="I85" i="1"/>
  <c r="I86" i="1"/>
  <c r="I87" i="1"/>
  <c r="T74" i="1"/>
  <c r="P83" i="1"/>
  <c r="Q79" i="1"/>
  <c r="Q80" i="1"/>
  <c r="Q81" i="1"/>
  <c r="Q82" i="1"/>
  <c r="Q83" i="1"/>
  <c r="R83" i="1"/>
  <c r="L69" i="1"/>
  <c r="O74" i="1"/>
  <c r="I75" i="1"/>
  <c r="S83" i="1"/>
  <c r="P74" i="1"/>
  <c r="T83" i="1"/>
  <c r="I158" i="1" l="1"/>
  <c r="I157" i="1" s="1"/>
  <c r="I149" i="1"/>
  <c r="I152" i="1"/>
  <c r="I6" i="1"/>
  <c r="I68" i="1"/>
  <c r="R90" i="1"/>
  <c r="Q70" i="1"/>
  <c r="U70" i="1" s="1"/>
  <c r="P89" i="1"/>
  <c r="O94" i="1"/>
  <c r="Q94" i="1"/>
  <c r="Q89" i="1"/>
  <c r="S94" i="1"/>
  <c r="O16" i="1"/>
  <c r="P16" i="1" s="1"/>
  <c r="S89" i="1"/>
  <c r="T89" i="1"/>
  <c r="U80" i="1"/>
  <c r="T94" i="1"/>
  <c r="U79" i="1"/>
  <c r="P90" i="1"/>
  <c r="R94" i="1"/>
  <c r="P160" i="1"/>
  <c r="U160" i="1" s="1"/>
  <c r="O89" i="1"/>
  <c r="O20" i="1"/>
  <c r="P20" i="1" s="1"/>
  <c r="P91" i="1"/>
  <c r="O91" i="1"/>
  <c r="S91" i="1"/>
  <c r="T91" i="1"/>
  <c r="O14" i="1"/>
  <c r="P14" i="1" s="1"/>
  <c r="U14" i="1" s="1"/>
  <c r="O22" i="1"/>
  <c r="P22" i="1" s="1"/>
  <c r="O161" i="1"/>
  <c r="U161" i="1" s="1"/>
  <c r="P78" i="1"/>
  <c r="Q91" i="1"/>
  <c r="O23" i="1"/>
  <c r="P23" i="1" s="1"/>
  <c r="O13" i="1"/>
  <c r="P13" i="1" s="1"/>
  <c r="U13" i="1" s="1"/>
  <c r="O90" i="1"/>
  <c r="L149" i="1"/>
  <c r="M149" i="1" s="1"/>
  <c r="P73" i="1"/>
  <c r="L158" i="1"/>
  <c r="O162" i="1"/>
  <c r="U162" i="1" s="1"/>
  <c r="Q78" i="1"/>
  <c r="T78" i="1"/>
  <c r="O73" i="1"/>
  <c r="O78" i="1"/>
  <c r="O72" i="1"/>
  <c r="P72" i="1" s="1"/>
  <c r="O15" i="1"/>
  <c r="S90" i="1"/>
  <c r="S73" i="1"/>
  <c r="U76" i="1"/>
  <c r="R78" i="1"/>
  <c r="O18" i="1"/>
  <c r="P18" i="1" s="1"/>
  <c r="Q73" i="1"/>
  <c r="R73" i="1"/>
  <c r="T90" i="1"/>
  <c r="U17" i="1"/>
  <c r="U83" i="1"/>
  <c r="U75" i="1"/>
  <c r="U87" i="1"/>
  <c r="U71" i="1"/>
  <c r="U93" i="1"/>
  <c r="U86" i="1"/>
  <c r="U8" i="1"/>
  <c r="U74" i="1"/>
  <c r="U77" i="1"/>
  <c r="U10" i="1"/>
  <c r="U88" i="1"/>
  <c r="U85" i="1"/>
  <c r="U92" i="1"/>
  <c r="H157" i="1"/>
  <c r="L222" i="1"/>
  <c r="M222" i="1" s="1"/>
  <c r="M225" i="1"/>
  <c r="M69" i="1"/>
  <c r="L68" i="1"/>
  <c r="M68" i="1" s="1"/>
  <c r="Q21" i="1"/>
  <c r="O21" i="1"/>
  <c r="P21" i="1" s="1"/>
  <c r="U9" i="1"/>
  <c r="O149" i="1"/>
  <c r="U81" i="1"/>
  <c r="P159" i="1"/>
  <c r="O159" i="1"/>
  <c r="Q7" i="1"/>
  <c r="O7" i="1"/>
  <c r="Q12" i="1"/>
  <c r="O12" i="1"/>
  <c r="P12" i="1" s="1"/>
  <c r="L6" i="1"/>
  <c r="M6" i="1" s="1"/>
  <c r="U11" i="1"/>
  <c r="U84" i="1"/>
  <c r="U82" i="1"/>
  <c r="I230" i="1" l="1"/>
  <c r="H230" i="1"/>
  <c r="U16" i="1"/>
  <c r="U20" i="1"/>
  <c r="U89" i="1"/>
  <c r="U94" i="1"/>
  <c r="P158" i="1"/>
  <c r="P157" i="1" s="1"/>
  <c r="U23" i="1"/>
  <c r="U91" i="1"/>
  <c r="O158" i="1"/>
  <c r="O157" i="1" s="1"/>
  <c r="U78" i="1"/>
  <c r="U22" i="1"/>
  <c r="R68" i="1"/>
  <c r="P15" i="1"/>
  <c r="U15" i="1" s="1"/>
  <c r="U149" i="1"/>
  <c r="U12" i="1"/>
  <c r="T68" i="1"/>
  <c r="L157" i="1"/>
  <c r="M157" i="1" s="1"/>
  <c r="M158" i="1"/>
  <c r="U18" i="1"/>
  <c r="H5" i="1"/>
  <c r="I5" i="1" s="1"/>
  <c r="U72" i="1"/>
  <c r="U73" i="1"/>
  <c r="U90" i="1"/>
  <c r="S68" i="1"/>
  <c r="U159" i="1"/>
  <c r="Q6" i="1"/>
  <c r="U21" i="1"/>
  <c r="O69" i="1"/>
  <c r="Q69" i="1"/>
  <c r="Q68" i="1" s="1"/>
  <c r="O6" i="1"/>
  <c r="P7" i="1"/>
  <c r="O225" i="1"/>
  <c r="O222" i="1" s="1"/>
  <c r="U222" i="1" s="1"/>
  <c r="U158" i="1" l="1"/>
  <c r="U157" i="1"/>
  <c r="U225" i="1"/>
  <c r="P6" i="1"/>
  <c r="U6" i="1" s="1"/>
  <c r="U7" i="1"/>
  <c r="O68" i="1"/>
  <c r="P69" i="1"/>
  <c r="P68" i="1" l="1"/>
  <c r="U68" i="1" s="1"/>
  <c r="U69" i="1"/>
</calcChain>
</file>

<file path=xl/sharedStrings.xml><?xml version="1.0" encoding="utf-8"?>
<sst xmlns="http://schemas.openxmlformats.org/spreadsheetml/2006/main" count="1348" uniqueCount="254">
  <si>
    <t>Tipo de cambio:</t>
  </si>
  <si>
    <t xml:space="preserve">Descripción </t>
  </si>
  <si>
    <t>Institución Ejecutora</t>
  </si>
  <si>
    <t>Fuente Financiamiento</t>
  </si>
  <si>
    <t>Cantidad
Comprada</t>
  </si>
  <si>
    <t>Precio
Unitario</t>
  </si>
  <si>
    <t>Monto 
Lempiras</t>
  </si>
  <si>
    <t>Monto Estimado US$</t>
  </si>
  <si>
    <t>Fecha de Factura</t>
  </si>
  <si>
    <t xml:space="preserve">Método de Contratación </t>
  </si>
  <si>
    <t>Monto Estimado
$</t>
  </si>
  <si>
    <t>Monto Estimado $</t>
  </si>
  <si>
    <t>Actividades Cargadas al CC</t>
  </si>
  <si>
    <t>Proyección (US$)</t>
  </si>
  <si>
    <t xml:space="preserve">Proveedor </t>
  </si>
  <si>
    <t xml:space="preserve">Ubicación (cuando Aplique)  </t>
  </si>
  <si>
    <t xml:space="preserve">Caserío </t>
  </si>
  <si>
    <t>Fase 1          Marzo</t>
  </si>
  <si>
    <t>Fase 2            Abril</t>
  </si>
  <si>
    <t>Fase3          Mayo</t>
  </si>
  <si>
    <t>Fase 4          
Junio</t>
  </si>
  <si>
    <t>Fase 5            Julio</t>
  </si>
  <si>
    <t>Fase 6          Agosto</t>
  </si>
  <si>
    <t xml:space="preserve">Departamento </t>
  </si>
  <si>
    <t xml:space="preserve">Municipio </t>
  </si>
  <si>
    <t>BIENES</t>
  </si>
  <si>
    <t>EQUIPO DE PROTECCION (EPP)</t>
  </si>
  <si>
    <t>Mascarillas N95</t>
  </si>
  <si>
    <t>SESAL</t>
  </si>
  <si>
    <t>Tesoro Nacional</t>
  </si>
  <si>
    <t>Banco Occi</t>
  </si>
  <si>
    <t>Batas desechables</t>
  </si>
  <si>
    <t>Mascarillas desechables</t>
  </si>
  <si>
    <t>Gafas bioseguridad</t>
  </si>
  <si>
    <t>Guante estéril xl</t>
  </si>
  <si>
    <t>Guante estéril l</t>
  </si>
  <si>
    <t>Guante estéril m</t>
  </si>
  <si>
    <t>Guante estéril s</t>
  </si>
  <si>
    <t>Guante descartable xl</t>
  </si>
  <si>
    <t>Guante descartable l</t>
  </si>
  <si>
    <t>Guante descartable m</t>
  </si>
  <si>
    <t>Guante descartable s</t>
  </si>
  <si>
    <t>COPECO</t>
  </si>
  <si>
    <t>Tesoro nacional</t>
  </si>
  <si>
    <t>Contratacion directa</t>
  </si>
  <si>
    <t>MEDICAMENTOS</t>
  </si>
  <si>
    <t xml:space="preserve">Acetaminofén 500mg </t>
  </si>
  <si>
    <t xml:space="preserve">Acetaminofén 120mg/ml </t>
  </si>
  <si>
    <t xml:space="preserve">Acetaminofén 100mg/ml </t>
  </si>
  <si>
    <t xml:space="preserve">Loratadina 10mg </t>
  </si>
  <si>
    <t xml:space="preserve"> Loratadina 1mg/ml </t>
  </si>
  <si>
    <t>Salbutamol 5mg/ml</t>
  </si>
  <si>
    <t xml:space="preserve">Ipratropio 250mcg/ml </t>
  </si>
  <si>
    <t xml:space="preserve">Sales de Rehidratación Oral - Sobres </t>
  </si>
  <si>
    <t>Lactato de sodio + Electrolitos Mixtos (Solución Hartman) 1000 mL</t>
  </si>
  <si>
    <t xml:space="preserve">Cloruro de Sodio 0.9% 1000ml </t>
  </si>
  <si>
    <t xml:space="preserve">Ceftriaxona 1gr </t>
  </si>
  <si>
    <t xml:space="preserve">Ciprofloxacina 500mg </t>
  </si>
  <si>
    <t xml:space="preserve">Azitromicina 500mg </t>
  </si>
  <si>
    <t xml:space="preserve">Azitromicina 200mg/5ml </t>
  </si>
  <si>
    <t xml:space="preserve">Oxacilina 1gr </t>
  </si>
  <si>
    <t xml:space="preserve">Dicloxacilina 500mg </t>
  </si>
  <si>
    <t xml:space="preserve">Dicloxacilina 125mg/5ml </t>
  </si>
  <si>
    <t xml:space="preserve">Imipenem + Cilastatina [500mg + 500mg] </t>
  </si>
  <si>
    <t>Piperacilina + Tazobactam [4gr + 500mg]</t>
  </si>
  <si>
    <t xml:space="preserve">Vancomicina 500mg </t>
  </si>
  <si>
    <t xml:space="preserve">Dopamina 40mg/ml </t>
  </si>
  <si>
    <t xml:space="preserve">Norepinefrina 1mg/ml </t>
  </si>
  <si>
    <t xml:space="preserve">Dobutamina 12.5mg/ml </t>
  </si>
  <si>
    <t>Midazolam 1mg/ml</t>
  </si>
  <si>
    <t>Midazolam 5mg/ml</t>
  </si>
  <si>
    <t>ALCOHOL GEL</t>
  </si>
  <si>
    <t>Presentación en 4 Onzas</t>
  </si>
  <si>
    <t xml:space="preserve">Fondos nacionales </t>
  </si>
  <si>
    <t>Presentación 1 Galón</t>
  </si>
  <si>
    <t>CONVENIOS CON HOSPITALES</t>
  </si>
  <si>
    <t>Equipo</t>
  </si>
  <si>
    <t>EPP</t>
  </si>
  <si>
    <t>Insumos</t>
  </si>
  <si>
    <t>Medicamentos</t>
  </si>
  <si>
    <t>EQUIPO MEDICO</t>
  </si>
  <si>
    <t>Ventiladores, Respiradores y Succionadores mecánicos de flema</t>
  </si>
  <si>
    <t>Bateria Desmontables</t>
  </si>
  <si>
    <t>contrato</t>
  </si>
  <si>
    <t>Supcionadores</t>
  </si>
  <si>
    <t>Respirador- Breas Vivo 65</t>
  </si>
  <si>
    <t>Respirador- Trilogy Evo</t>
  </si>
  <si>
    <t>Ventilador mecánico para adulto</t>
  </si>
  <si>
    <t>INVEST-H</t>
  </si>
  <si>
    <t xml:space="preserve">Equipamiento de salas de atencion </t>
  </si>
  <si>
    <t>Camas manuales hospitalarias</t>
  </si>
  <si>
    <t>Francisco Morazán</t>
  </si>
  <si>
    <t>Tegucigalpa</t>
  </si>
  <si>
    <t xml:space="preserve">Colchones para camas hospitalarias </t>
  </si>
  <si>
    <t xml:space="preserve">Camas unipersonales </t>
  </si>
  <si>
    <t xml:space="preserve">Juegos de almohadas </t>
  </si>
  <si>
    <t xml:space="preserve">Juegos de sabanas </t>
  </si>
  <si>
    <t xml:space="preserve">Toallas de baño </t>
  </si>
  <si>
    <t xml:space="preserve">Mesas plegables </t>
  </si>
  <si>
    <t xml:space="preserve">Sillas </t>
  </si>
  <si>
    <t xml:space="preserve">Materiales de aseo  </t>
  </si>
  <si>
    <t xml:space="preserve">Camas hospitalarias 1 funcion stl-818  </t>
  </si>
  <si>
    <t xml:space="preserve">Camas hospitalarias 2 funciones stl-828b </t>
  </si>
  <si>
    <t xml:space="preserve">Camillas con rodos stl 604  </t>
  </si>
  <si>
    <t xml:space="preserve">Camillas con rodos stl 602  </t>
  </si>
  <si>
    <t xml:space="preserve">Dispensador de agua </t>
  </si>
  <si>
    <t xml:space="preserve">Televisores 32 pulgadas </t>
  </si>
  <si>
    <t>Percoladoras</t>
  </si>
  <si>
    <t>Televisor 39 pulpagadas</t>
  </si>
  <si>
    <t>Mesas de Comedor</t>
  </si>
  <si>
    <t>Escritorios de madera</t>
  </si>
  <si>
    <t xml:space="preserve">Mesas de noche para las camas </t>
  </si>
  <si>
    <t xml:space="preserve">Estantes de madera </t>
  </si>
  <si>
    <t>HOSPITALES MOVILES</t>
  </si>
  <si>
    <t>Hospital móvil (puerto de embarque y desembarque de turistas)</t>
  </si>
  <si>
    <t>Islas de La Bahía</t>
  </si>
  <si>
    <t>Roatán</t>
  </si>
  <si>
    <t xml:space="preserve">Unidad de aislamiento </t>
  </si>
  <si>
    <t>Hospitales Móviles</t>
  </si>
  <si>
    <t>Hospital Movil de 91 camas</t>
  </si>
  <si>
    <t>Hospital Movil de 51 camas</t>
  </si>
  <si>
    <t xml:space="preserve">Plantas de Tratamiento de Residuos médicos </t>
  </si>
  <si>
    <t>GRAN TOTAL</t>
  </si>
  <si>
    <t>Insumos Biomédicos (mascarillas)</t>
  </si>
  <si>
    <t>Pruebas COVID-19 (Bioneer Corea)</t>
  </si>
  <si>
    <t>Flete mas Seguro Pruebas COVID-19 (Bioneer Corea)</t>
  </si>
  <si>
    <t>Equipo de Protección Personal</t>
  </si>
  <si>
    <t>Fondos Externos</t>
  </si>
  <si>
    <t>En proceso de actualización en el portal del IAIP</t>
  </si>
  <si>
    <t>Microdasyn, Solución Antiséptica, Bidón de 5 lts</t>
  </si>
  <si>
    <t>PASTILLAS HIDROXICLOROQUINA (50% F.01 #426-01-01)</t>
  </si>
  <si>
    <t>Flete y Sefuro PASTILLAS HIDROXICLOROQUINA (50% F.01 #426-01-01)</t>
  </si>
  <si>
    <t xml:space="preserve"> ExiPrep TM 48  para  pruebas COVID  </t>
  </si>
  <si>
    <t xml:space="preserve">ExiPrep  ExiPrep TM96 para  pruebas COVID </t>
  </si>
  <si>
    <t>1 ExiiPrep 96 Lite, Precio Unitario, *A-5150</t>
  </si>
  <si>
    <t xml:space="preserve">4 ExiiPrep 48 Dx </t>
  </si>
  <si>
    <t>Insumos Biomédicos (mascarillas, guantes y termometros)</t>
  </si>
  <si>
    <t>Insumos Biomédicos (batas mascarillas, guantes y protector facial)</t>
  </si>
  <si>
    <t>SERVICIO DE DESADUANAJE DE DOS GUIAS AEREAS DHL # 7824690031 Y 7172053394, CORRESPONDIENTES A LA PRIMERA ENTREGA DE 100,000 PRUEBAS</t>
  </si>
  <si>
    <t>COMPLEMENTO SERVICIO DE DESADUANAJE DE DOS GUIAS AEREAS DHL # 7824690031 Y 7172053394, CORRESPONDIENTES A LA PRIMERA ENTREGA DE 100,000 PRUEBAS</t>
  </si>
  <si>
    <t>SERVICIO DE DESADUANAJE DE DOS GUIAS AEREAS DHL AWB # 4465114452 Y 4465120660, CORRESPONDIENTES A LA SEGUNDA ENTREGA DE 100,000 PRUEBAS</t>
  </si>
  <si>
    <t>SERVICIO DE DESADUANAJE DE UNA GUIA AEREAS DHL AWB # 1618773166, CORRESPONDIENTES A LA TERCEERA Y ULTIMA ENTREGA DE 50,000 PRUEBAS</t>
  </si>
  <si>
    <t>PAGO POR FLETE DE MEXICO A HONDURAS DEL MICRODACYN SOLUCION ANTISEPTICA, DE 7,000, BIDONES DE 5 LITROS</t>
  </si>
  <si>
    <t>COMPLEMENTO SERVICIO DE DESADUANAJE DE DOS GUIAS AEREAS DHL AWB # 4465114452 Y 4465120660, CORRESPONDIENTES A LA SEGUNDA ENTREGA DE 100,000 PRUEBAS</t>
  </si>
  <si>
    <t xml:space="preserve"> 2 Kit de extracción (HigherPurityTM Viral RNA) de 250 muestras c/u para un total de 500 muestras</t>
  </si>
  <si>
    <t>SERVICIO DE DESADUANAJE DE UNA GUIA AEREA DHL #2301310535, CORRESPONDIENTE A ENTREGA DE HigherPurity TM Viral RNA Extracción, Kit de extracción para 500 muestras compradas al Proveedor CAPRIS MEDICA, COSTA RICA.</t>
  </si>
  <si>
    <t>SERVICIO DE DESADUANAJE DE UNA GUIA AEREA DHL #3616835423, CORRESPONDIENTE A LA ENTREGA DE 10,000 MASCARILLAS DE 3 CAPAS, COMO PARTE DE LOS INSUMOS DE LOS HOSPITALES MOVILES.</t>
  </si>
  <si>
    <t>SERVICIO DE DESADUANAJE DE UNA GUIA AEREA DHL #3616834045, CORRESPONDIENTE A LA ENTREGA DE 10,000 MASCARILLAS DE 3 CAPAS, COMO PARTE DE LOS INSUMOS DE LOS HOSPITALES MOVILES.</t>
  </si>
  <si>
    <t>Kit de Extracción ARN Zymo Quick-RNA Viral Kit (200 reacciones)</t>
  </si>
  <si>
    <t>PAGO DEL 60% DE ANTICIPO POR EL EQUIPAMIENTO DE 129 VENTILADORES MECANICOS PULMONARES COMPRADOS POR COPECO.</t>
  </si>
  <si>
    <t>TABLETAS DE INVERMECTINA 6MG</t>
  </si>
  <si>
    <t>Insumos Biomédicos (mascarillas) (DEVOLUCION DE ANTICIPO)</t>
  </si>
  <si>
    <t>Insumos Biomédicos (mascarillas y protector facial)</t>
  </si>
  <si>
    <t>Insumos Biomédicos (anteojos descartables)</t>
  </si>
  <si>
    <t>Ver detalle en IAIP</t>
  </si>
  <si>
    <t xml:space="preserve">PAGO POR COSTO DE TRANSPORTE AEREO DEL PRIMER CARGAMENTO DE 1,647KG DE HIDROXYCLOROQUINE SULFATE TABLETS, SHANGAI-CHINA-S.P.S. </t>
  </si>
  <si>
    <t>Pago por costo de transporte aéreo del primer cargamento de Kits ExiPrep TM 96 Lite, ExiPrep TM 48 Dx.</t>
  </si>
  <si>
    <t>Insumos Biomédicos (mascarillas, oximetros y protector facial)</t>
  </si>
  <si>
    <t>Insumos Biomédicos (mascarillas)*</t>
  </si>
  <si>
    <t>PAGO POR LA COMPRA DE 20,000 SARS-COV-2 POR RT-PCR EN TIEMPO REAL, PARA USO EN SISTEMA ABBOTT M 2000 REALTIME</t>
  </si>
  <si>
    <t>Insumos Biomédicos (anteojos descartables y protector facial)</t>
  </si>
  <si>
    <t>Pago por costo de transporte aéreo del segundo cargamento de Kits ExiPrep TM 96 Lite, ExiPrep TM 48 Dx.</t>
  </si>
  <si>
    <t xml:space="preserve">PAGO POR COSTO DE SERVICIO DE TRAMITE ADUANERO DE 700,000 TABLETAS DE SULFATO DE  HIDROXICLOROQUINA DE 100mg. </t>
  </si>
  <si>
    <t xml:space="preserve">PAGO POR COSTO DE SERVICIO DE TRAMITE ADUANERO DE 750,400 TABLETAS DE SULFATO DE  HIDROXICLOROQUINA DE 100mg. </t>
  </si>
  <si>
    <t>Paquete de Laparatomia,  conjunto de piezas de lenceria médica descartable para ser usada en las intervenciones quirúrgicas, 323 unidades adquiridas  a un monto de 710 Lempiras C/U mas ISV Lps. 34,399.50</t>
  </si>
  <si>
    <t>Flujometro para Oxigeno con conexión tipo OHMEDA, dosificador de oxígeno medicinal instrumentos para la medición de velocidad, adquisicion de 14 Unidades a un monto de 2,450 Lempiras C/U mas ISV Lps. 5,145.00</t>
  </si>
  <si>
    <t>Sensor de Flujo Adulto/Pediátrico Reusable para Ventilador Mecánico  impuesto L. 1,245.78"</t>
  </si>
  <si>
    <t>Batas Descartables: para pacientes repelentes a líquidos manga larga de puño reforzado, presentación en bolsa de 10 unidades, no estériles y que no sean transparentes, empaque individual, talla l y m. Tasa de comisión desaduanaje L. 3,108.00"</t>
  </si>
  <si>
    <t>Batas Descartables: para pacientes repelentes a líquidos manga larga de puño reforzado, presentación en bolsa de 10 unidades, no estériles y que no sean transparentes, empaque individual, talla l y m.Tasa de comisión desaduanaje L. 1,902.00"</t>
  </si>
  <si>
    <t>Overoles impermeables con las siguientes especificaciones: cobertura corporal total, resistente a partículas, anti fluidos hisdroestetico, resistente al rasgamiento, reutilizable, esterilizable con amonio cuaternurio"</t>
  </si>
  <si>
    <t>Gorros Descartables; Unisex con elásticos circular para uso de adultos y pediátricos tamaño estándar, "</t>
  </si>
  <si>
    <t>Bactericida de amplio espectro para ropa (uso hospitalario), caja de 6 unds"</t>
  </si>
  <si>
    <t>Mascarillas KN95 (fideicomiso)"</t>
  </si>
  <si>
    <t>Mascarillas Descartables con Protección KN95 (fideicomiso)"</t>
  </si>
  <si>
    <t>Gafas Protectoras (fideicomiso)"</t>
  </si>
  <si>
    <t>Hospital Escuela Universitario</t>
  </si>
  <si>
    <t>AJUSTE POR VALOR DUPLICADO, PAGO POR LA COMPRA DE 20000 SARS-COV-2 POR RT-PCR..</t>
  </si>
  <si>
    <t>COVIT.  Botas Descartables; con material anti derrapante, tamaño estándar, adquisición de 22,000 unidades a un precio 4.50 lps. más ISV. 14,850.00 Proceso elaborado vía catálogo electrónico</t>
  </si>
  <si>
    <t>COVIT. Botas Descartables; con material anti derrapante, tamaño estándar, adquisición de 27,000 unidades a un precio 7.50 lps. más ISV. 30,375.00 Proceso elaborado vía catálogo electrónico</t>
  </si>
  <si>
    <t xml:space="preserve">(COVID-19)  Batas Descartables: para pacientes repelentes a liquidos managa larga de puño reforzado, presentacion en bolsa de 10 unidades, no esteriles y que no sean transparentes, empaque individual, talla l y m Adquisicon de 3456 unidades a un precio de lps.50 </t>
  </si>
  <si>
    <t xml:space="preserve"> (COVID-19) Batas Descartables: para pacientes repelentes a liquidos managa larga de puño reforzado, presentacion en bolsa de 10 unidades, no esteriles y que no sean transparentes, empaque individual, talla l y m Adquisicon de 5000 unidades a un precio de 95 lps   Proceso elaborado vía catálogo electrónico</t>
  </si>
  <si>
    <t xml:space="preserve">(COVID-19)  Batas Descartables: para pacientes repelentes a liquidos managa larga de puño reforzado, presentacion en bolsa de 10 unidades, no esteriles y que no sean transparentes, empaque individual, talla l y m Adquisicon de 7060 unidades a un precio de 50 Lps. No pagan ISV. </t>
  </si>
  <si>
    <t>GASTOS DE VIAJE  DEL 15 AL 16 DE MAYO DE 2020 EN  RECEPCION Y ENTREGA DE MASCARILLAS PARA EL PROGRAMA "TODOS CON MASCARILLAS" ADQUIRIDAS A LA ASOCIACION HONDUREÑA DE MAQUILADORES EN EL MARCO DE LA EMERGENCIA COVID-19.</t>
  </si>
  <si>
    <t>GASTOS DE VIAJE DEL 15 AL 16 DE MAYO DE 2020 EN  RECEPCION Y ENTREGA DE MASCARILLAS PARA EL PROGRAMA "TODOS CON MASCARILLAS" ADQUIRIDAS A LA ASOCIACION HONDUREÑA DE MAQUILADORES EN EL MARCO DE LA EMERGENCIA COVID-19.</t>
  </si>
  <si>
    <t>GASTOS DE VIAJE A SAN PEDRO SULA DEL 22 AL 23 DE MAYO DE 2020. EN RECEPCION Y ENTREGA DE MASCARILLAS PARA EL PROGRAMA "TODOS CON MASCARILLAS" ADQUIRIDAS A LA ASOCIACION HONDUREÑA DE MAQUILADORES; RECEPCION Y ENTREGA DE VENTILADORES ADQUIRIDOS A SIMEDIC, EN EL MARCO DE LA EMERGENCIA COVID-19.</t>
  </si>
  <si>
    <t>Pago por Liquidación Complementaria por la Administración Aduanera de Honduras en el marco del proceso de nacionalización de dos(2) Hospitales de Aislamiento Móviles para atención de pacientes diagnosticados COVID-19</t>
  </si>
  <si>
    <t>COVID Batas Descartables para pacientes, perosnal medico, de enfermeria, repelentes a liquidos managa larga de puño reforzado, presentacion en bolsa de 10 unidades, no esteriles y que no sean transparentes, empaque individual, talla l y m, 10368 unidades a un precio de L. 50.00 Sin impuesto</t>
  </si>
  <si>
    <t>COVID Overoles Descartables Overoles impermeables con las siguientes especificaciones: cobertura corporal total, resistente a particulas, anti fluidos hisdroestetico, resistente al rasgamiento, reutilizable, esterilizable con amonio cuaternurio, 3,000 unidades a un precio de L. 87.50 sin impuesto.</t>
  </si>
  <si>
    <t>COVID- Batas Descartables para pacientes personal médico de enfermería repelentes a líquidos manga larga de puño reforzado presentación en bolsa de 10 unidades no estériles y que no sean transparentes empaque individual talla l y m Se Adquirieron 127216 und a un precio de 59.00 Lps no pagan ISV.</t>
  </si>
  <si>
    <t>COVID- Lentes de Protección Patillas de longitud ajustables ajuste del ángulo de la lente con puente nasal suave color de la lente transparente. Se adquirieron 2400 und a un precio de 175.00 Lps no pagan ISV.</t>
  </si>
  <si>
    <t>COVID- Gorros Descartables Unisex con elásticos circular para uso de adultos y pediátricos tamaños estándar presentación caja o paquete de 100 und. Se adquirieron 234000 und a un precio de 1.49 Lps. No pagan ISV.</t>
  </si>
  <si>
    <t>COVID Mascarillas Descartables: Unisex de 3 Pliegues con puente de metal moldeable para nariz y con 4 cintas o sujetadores fuertes de amarre. Se Adquirieron 348000 und a un precio de 4.44 Lps. No pagan ISV.</t>
  </si>
  <si>
    <t xml:space="preserve">COVID Termómetro Infrarrojo medidor de temperatura sin contacto no invasivo que muestre temperaturas en grados centígrados. Se adquirieron 100 und a un precio de 749.44 Lps. No pagan ISV.
</t>
  </si>
  <si>
    <t>COVID. Tocilizumab 20mg/ml (EQ 200MG/10ML) caja con un vial de vidrio incoloro nombre comercial Acetmra 20mg/10ml. Se Adquirieron 400 vial a un precio de 6695.00 Lps. No pagan ISV.</t>
  </si>
  <si>
    <t>Covid- Overoles Descartables con las siguientes especificaciones: cobertura corporal total, resistente a particulas, anti fluidos hisdroestetico, resistente al rasgamiento, reutilizable, esterilizable con amonio cuaternurio. Se adquirieron 3000 Und, a un precio de 87.50Lps. No pagan ISV.</t>
  </si>
  <si>
    <t>COVID-DIMERO D set de 150 pruebas mas Imp Lps. 496,125.00</t>
  </si>
  <si>
    <t>COVID-FERRITINA set de 200 pruebas mas Imp. Lps 85,500.00</t>
  </si>
  <si>
    <t>COVID- Deward Oxigeno Liquido 6600 PC se adquirieron 251 cilindros a un precio unitario de Lps. 3,828 , no paga ISV  (Consumo de Julio)</t>
  </si>
  <si>
    <t>COVID- Oxigeno Gas 300 PC se adquirieron 1653 cilindros a un precio de Lps.207.00  no paga isv(Consumo de Julio)</t>
  </si>
  <si>
    <t>COVID- Oxigeno Liquido en MTS3 al 99.5% de Pureza Mínima se adquirieron 52506 MTS3 a un precio de Lps.20.51 No pagan ISV.  (Consumo de Julio)</t>
  </si>
  <si>
    <t>COVID- Oxido Nitroso de 220  PC se adquirieron 2 cilindros a un  precio Lps. 5,000.00  mas ISV por un monto de Lps.750.00 (Consumo de Julio) ISV incluido</t>
  </si>
  <si>
    <t>COVID- Oxigeno Gas 300 PC se adquirieron 229 cilindros a un precio de Lps.207.00 NO pagan ISV.  (Consumo de Agosto)</t>
  </si>
  <si>
    <t>COVID- Oxigeno Liquido en MTS3 al 99.5% de Pureza Minima  se adquirieron 53943 MTS3 a un precio de Lps.20.51 , NO pagan ISV. (Consumo de Agosto)</t>
  </si>
  <si>
    <t>COVID- Oxigeno Gas 300 PC se adquirieron 81 cilindros a un precio de Lps.207.00   NO pagan ISV.(Consumo de Septiembre)</t>
  </si>
  <si>
    <t>COVID- Oxigeno Liquido en MTS3 al 99.5% de Pureza Mínima se adquirieron 43784 MTS3 a un precio de Lps.20.51   No pagan ISV.  (Consumo de Septiembre)</t>
  </si>
  <si>
    <t xml:space="preserve">COVID- Nitrogeno Liquido a Granel, se adquirieron 20 litros a un precio de Lps.120.00  mas ISV Lps.18.00  </t>
  </si>
  <si>
    <t xml:space="preserve">COVID- Oxido Nitroso de 220  PC se adquirireron un (1) cilindro a un precio 5,000.00 lps mas  ISV de 750.00 lps (Consumo de Septiembre)  </t>
  </si>
  <si>
    <t>COVID- COVID-Fentanilo  Base 0.05MG/ML/10ML (Como Citrato) Solucion  Inyectable  IM. IV.  Se adquirieron 1580 Viales  aun precio de Lps.50.00 NO pagan ISV.</t>
  </si>
  <si>
    <t xml:space="preserve">Covid- Regularización del gasto por concepto de adquisición de, Manómetro para tanque de oxígeno,  mide la presión en un medio con alto porcentaje en oxígeno, se adquirieron 194 unidades a un precio unitario L. 1,660.00 monto total L. 322,040.00. Octubre 2020 Hospital Escuela NO PAGAN ISV. </t>
  </si>
  <si>
    <t xml:space="preserve">Covid- Regularización del gasto por concepto de adquisición de, Flujometros de 15 Litros de Pared Tipo DISS, Proporciona una medición y un control del flujo de gas de alta precisión dentro de un rango, se adquirieron 120 unidades a un precio unitario L. 1,320.00 monto total L. 158,400.00. Octubre 2020 Hospital Escuela NO PAGAN ISV. </t>
  </si>
  <si>
    <t xml:space="preserve">Covid- Regularización del gasto por concepto de adquisición de,  Fluxómetros de 15 Litros de Pared Tipo OHMEDA, Toma para gases médicos de conexión de enchufe rápido  para instalación en consolación en pared, se adquirieron 148 unidades a un precio unitario L. 1,320.00 monto total L. 195,360.00. Octubre 2020 Hospital Escuela NO PAGAN ISV. </t>
  </si>
  <si>
    <t xml:space="preserve">Covid, Regularización del gasto por concepto de adquisición de, Bombas de Infusión de 1 canal para inyectar fluidos medicación o nutrientes en el sistema circulatorio del paciente generalmente su uso es intravenoso.  Se adquirieron 125 unidades a un precio unitario L. 14, 840.00 monto total L. 1, 855,000.00. Octubre 2020 Hospital Escuela NO PAGAN ISV. </t>
  </si>
  <si>
    <t xml:space="preserve">Covid, Regularización del gasto por concepto de adquisición de, Monitor de Signos Vitales 6 Parámetros Adulto, Se adquirieron 50 unidades a un precio unitario L. 55, 385.00 monto total L. 2, 769,250.00. Octubre 2020 Hospital Escuela NO PAGAN ISV. </t>
  </si>
  <si>
    <t xml:space="preserve">COVID Pago De Cuota Mensual De Contrato De Servicio De Mantenimiento Preventivo Y Correctivo Con Suministro De Repuestos Para Equipo De Radiología Según Contrato 26-HE-2020 Incluye ISV de 199,345.86 lps  monto total a pagar L. 1,328,972.43 </t>
  </si>
  <si>
    <t>COVID- Regularización del gasto por concepto de adquisición de medicamentos 42-2020-HE-CMME - Meropenem 500MG Solución Inyectable IV, se adquirieron 10000 Unds.  A un precio de 99.50 cada Frascos, NO pagan ISV.</t>
  </si>
  <si>
    <t>COVID-  Regularización del gasto por concepto de pago de Oxigeno de Gas  Cilindro 300 PC se  adquirieron 164 cilindros a un precio de unitario de 207.00 Lps, no paga ISV  (Consumo de Octubre)</t>
  </si>
  <si>
    <t>COVID- Regularización del gasto por concepto de pago de Oxigeno Liquido en MTS3 al 99.5% de Pureza Mínima, se adquirieron 50694 MTS3 a un precio de 20.51 Lps. No pagan ISV.  (Consumo de Octubre)</t>
  </si>
  <si>
    <t xml:space="preserve">COVID- Regularización del gasto por concepto de pago de Óxido Nitroso de 220  PC se adquirió 2 cilindros a un  precio 550.00 lps más 82.50 lps. De  ISV. (Consumo de Octubre) </t>
  </si>
  <si>
    <t xml:space="preserve">COVID Regularización del gasto por concepto de  Pago De Cuota Mensual De Contrato De Servicio De Mantenimiento Preventivo Y Correctivo Con Suministro De Repuestos Para Equipo De Radiología Según Contrato 26-HE-2020 Incluye ISV de 164,805.22 lps  monto total a pagar L. 1,098,701.48 </t>
  </si>
  <si>
    <t xml:space="preserve">COVID Regularización del gasto por concepto de  repuestos Tubo de Rx para CT (BS)  Tomagrofo de 16 cortes De Contrato De Servicio De Mantenimiento Preventivo Y Correctivo Con Suministro De Repuestos Para Equipo De Radiología Según Contrato 26-HE-2020 Incluye ISV de 125,053.05 lps  monto total a pagar L. 958,740.05 </t>
  </si>
  <si>
    <t xml:space="preserve">COVID Regularización del gasto por concepto de  repuestos Tubo de Rx para CT (BS)  Sala de Tomografía 2 Rx De Contrato De Servicio De Mantenimiento Preventivo Y Correctivo Con Suministro De Repuestos Para Equipo De Radiología Según Contrato 26-HE-2020 Incluye ISV de 129,668.20 lps  monto total a pagar L. 994,122.87 </t>
  </si>
  <si>
    <t>Etiquetas de fila</t>
  </si>
  <si>
    <t>Total general</t>
  </si>
  <si>
    <t>Suma de Monto 
Lempiras</t>
  </si>
  <si>
    <t>Suma de Monto Estimado US$</t>
  </si>
  <si>
    <t xml:space="preserve">COVID-Regularización del gasto por concepto de pago de adquisición de 2 vehículos tipo ambulancia II Land Cruiser batalla larga tipo furgoneta  4 x 4  para el traslado de pacientes ya que es una labor de este centro hospitalario. Se adquirieron a un precio unitario de L. 1, 489,878.24 más impuesto sobre venta L. 223,481.74 monto total a pagar por los 2 ambulancias L. 3, 426,719.96 </t>
  </si>
  <si>
    <t>COVID-Regularización del gasto por concepto de pago de adquisición de dieciocho (18) cámaras Mortuorias (cantidad 3 cámaras mortuorias con capacidad de 6 cuerpos marca CEABIS modelo CEACA 27 país de origen ITALIA un aire acondicionado marca GOODMAN modelo ARUF país de origen USA la instalación debe incluir adecuaciones físicas del espacio y la instalación eléctrica y mecánica de las cámaras mortuorias. Se adquirieron a un precio unitario de L. 4, 604,340.00 más impuesto sobre venta L. 690,651.00 monto total a pagar L. 5, 294,991.00.</t>
  </si>
  <si>
    <t>Covid adquisición de caldera eléctrica para generación de vapor en el área de esterilización  quirúrgica y cocina caldera eléctrica, tipo vapor modelo FB-1000-L Potencia capacidad (bhp) 100 (lb-vapor/hr) 3,415 (kilowatts) 1000 (kgsteam/*hr) 1549 presión de diseño voltaje controles 120/60/1) (lb/in2) 150 voltaje de elementos 480/60/3, incluye kit de repuestos, desmontaje de tubería y construcción de nueva línea de vapor, instalación Electrica de  caldera, mantenimiento de banco transformadores, mantenimiento preventivo, cambio de aceite y gastos administrativos  Detalle;
Caldera eléctrica; precio unitario L. 2, 855,525.25 paga impuesto por un monto de L. 428,328.79 monto total a pagar L. 3,283,854.04
Kit de repuestos;  precio unitario L. 207,206.99 paga impuesto por un monto de L. 44, 411.65 monto total a pagar L. 340, 489.30
Desmontaje de Tubería existente  y construcción de nueva línea de vapor; L. 1, 434, 352.00 paga impuesto por un monto de L. 215, 152.80 por un monto total de L. 1, 649,504.80
Instalación eléctrica; precio unitario L. 379,439.00 pagan impuesto por un  monto de L. 56,915.85 monto total a pagar L. 436,354.85
Mantenimiento de banco de transformadores; precio unitario L. 34,500.00 pagan impuesto por un monto de L. 5,175.000 monto total a pagar L. 39,675.00
Mantenimiento preventivo del equipo; precio unitario L. 20,700.00 pagan impuesto por un monto de L. 3, 105.00 monto total a pagar L. 23,805.00
Cambio de Aceite; precio unitario;  L. 178,250.00 pagan impuesto por un monto de L. 26, 737.50 monto total a pagar L. 204, 987.50
Gastos Administrativos;  Precio unitario;  L. 238,231.00 NO PAGA ISV</t>
  </si>
  <si>
    <t>Covid- Regularización del gasto por concepto de adquisición de medicamentos CD-57-2020-HE-CMP- Piperacilina 4G+Tazobactam 500mg sol. Iny IV. Se adquirieron 4,500 frascos A un precio de 99.75 cada Frascos, NO pagan ISV.</t>
  </si>
  <si>
    <t>Covid- Regularización del gasto por concepto de adquisición de medicamentos CD-57-2020-HE-CMP- Enoxaparina (sodica) 40MG/0.4ML(4000UI). Se adquirieron 2119 frascos A un precio de 127.40 cada Jeringa, NO pagan ISV.</t>
  </si>
  <si>
    <t xml:space="preserve">Covid- Regularización del gasto por concepto de adquisición de camión motor D4DC 3.9 Diésel de aspiración natural inyección directa (118.3hp) capacidad de cabina 3 personas, chasis 5.3 toneladas, carrocería estilo furgón 16 pies de largo con piso de metal se adquirió un (1) und a un precio unitario de L. 694,521.74 paga impuesto por un monto de L. 104,178.26 monto total a pagar. L. 798,700.00 </t>
  </si>
  <si>
    <t xml:space="preserve">COVID- regularización del gasto por concepto de adquisición, de  UPS para los tomógrafos ubicados en el Departamento de Radiología; se adquirió una (1) UPS de 100 KVA marca EATON modelo 93 PM trifásica de doble conversión FP 1, tempo de respaldo a 100 KVA de 7 minutos, a un precio unitario de L. 981,200.00 pagan impuesto por un valor de 147,180.00 monto total a pagar, L. 1, 128,380.00.  </t>
  </si>
  <si>
    <t xml:space="preserve">COVID- regularización del gasto por concepto de adquisición, de  UPS para los tomógrafos ubicados en el Departamento de Radiología;se adquirió un UPS de 150 KVA marca EATON modelo 93 PM trifásica de doble conversión FP1 tiempo de respaldo a 150 KVA de 7.2 minutos a un precio unitario de L. 1,268,200.00 pagan impuesto por un valor de L. 190,230.00 monto total a pagar L. 1,458,430.00 </t>
  </si>
  <si>
    <r>
      <rPr>
        <b/>
        <sz val="16"/>
        <color indexed="10"/>
        <rFont val="Calibri"/>
        <family val="2"/>
      </rPr>
      <t>Ejecución al 25 Diciembre 2020</t>
    </r>
    <r>
      <rPr>
        <b/>
        <sz val="16"/>
        <rFont val="Calibri"/>
        <family val="2"/>
      </rPr>
      <t xml:space="preserve">: Presupuesto (COVID-19) </t>
    </r>
  </si>
  <si>
    <t>COVID-Regularización del gasto por concepto de adquisición de Equipo médico de para el Hospital CD N°33-2020-HE-AEM- Torre de Rinolaringoscopia con precio unitario de Lps. 3,460,000.00 paga impuestos por un monto total Lps. 519,000.00 monto total a Pagar Lps.3,979,000.00</t>
  </si>
  <si>
    <t>COVID- Regularización del gasto por concepto de adquisición de  Mantenimiento Preventivo y Correctivo de dos (2) Elevadores en el Bloque Medico Quirúrgico, COVID-19 CD 34-2020-HE-AEM Los elevadores en Cuestión son Marca OTIS Y son los Únicos dos en Uso Actualmente orden de compra 413 pedido del almacén de materiales 311 con un Precio Unitario de Lps. 70,000.00 y un impuesto de Lps. 10,500.00 siendo un Total en Lps. 80,500.00</t>
  </si>
  <si>
    <t>COVID-Regularización del gasto por concepto de adquisición de Equipo médico Suministro e Instalación de Unidad de Purificación de Aire UV/HEPA para la unidad de Cuidados Intensivos de Adultos CD-73-2020-HE se solicitan 12 und. con precio unitario de Lps. 69,000.00 paga impuestos por un monto total Lps. 124,200.00 monto total a Pagar Lps. 952,000.00</t>
  </si>
  <si>
    <t>COVID-Regularización del gasto por concepto de adquisición de Equipo médico Suministro e Instalación de Unidad de Purificación de Aire UV/IUPA para quirófanos y unidad de anestesiología CD-64-2020-HE-ASEIUPA se solicitan 8 und. con precio unitario de Lps. 266,304.34 paga impuestos por un monto total Lps. 319,565.21 monto total a Pagar Lps. 2,449,999.93</t>
  </si>
  <si>
    <t>COVID-Regularización del gasto por concepto de adquisición de Equipo médico Esfigmomanómetro Tensiómetro con Base Robadle para Adulto para abastecimiento general de las salas médicas del Hospital Escuela se solicitan 32 und. con precio unitario de Lps. 7,267.14 paga impuestos por un monto total Lps. 34,882.27 monto total a Pagar Lps. 267,430.75</t>
  </si>
  <si>
    <t>COVID-Regularización del gasto por concepto de adquisición de Equipo médico kit circuitos corrugado de ventilación no invasiva para oxigenoterapia de alto flujo para abastecimiento general de las salas médicas del Hospital Escuela se solicitan 40 und. con precio unitario de Lps. 600.00 paga impuestos por un monto total Lps. 3,600.00 monto total a Pagar Lps. 27,600.00</t>
  </si>
  <si>
    <t>COVID- Regularización del gasto por concepto de solicitud de compra de motocicleta CD-59-2020-HE-ACYM solicitada por la dirección de Logística pedido del almacén de materiales 436 con un Precio Unitario de Lps. 175,043.48 y un impuesto de Lps. 26,256.52 siendo un Total en Lps. 201,300.00</t>
  </si>
  <si>
    <t>COVID- Regularización del gasto por concepto de adquisición CD N°25-HE-AEIL. de (4) cuatro secadoras industriales de 70 kg (154 libras), con funcionamiento a vapor centralizado, con barrera sanitaria. instalación incluida y garantía de 3 años por escrito con mantenimiento preventivo y correctivo durante los años de garantía solicitadas por el almacén de materiales en coordinación con la dirección de Logística para el área de lavandería, del Hospital Escuela se solicitan 4 und. con precio unitario de Lps. 558.152.20 paga impuestos por un monto total Lps. 83,722.88 monto total a Pagar Lps. 2, 567,501.50 para la fuente de 13 de crédito interno se tomó la cantidad de L. 1,600,000.00 para la adquisición de este equipo y el resto mediante fuente 11 tesoro nacional, esto según autorización de la máxima autoridades del Hospital Escuela descritas en  el plan de emergencia covid.</t>
  </si>
  <si>
    <t>COVID- Regularización del gasto por concepto de solicitud de compra de adquisición productos hidráulicos e hidrosanitarios para renovación de red hidrosanitaria en zona de consulta externa y almacenes" CD-65-2020-HE-APHHCEYA solicitada por la dirección de Logística pedido del almacén de materiales 447 con un Precio Unitario de Lps. 1,216,892.26 y un impuesto de Lps. 182,533.84 siendo un Total en Lps. 1,399,426.10</t>
  </si>
  <si>
    <t>COVID- Regularización del gasto por concepto de solicitud de remodelación del área de morgue del Hospital Escuela" -CD-70-2020-HE-RAM solicitada por la dirección de Logística pedido del almacén de materiales 430 con un Precio Unitario de Lps. 1,482,338.94 y un impuesto de Lps. 222,350.84 siendo un Total en Lps. 1,704,689.78</t>
  </si>
  <si>
    <t>COVID- Regularización del gasto por concepto de solicitud de compra de Suministro e Instalación de Extractores de Aire tipo Hongo de 2000CFM. Con las Siguientes Especificaciones, Instalación Eléctrica e Instalación Mecánica, solicitada por la Dirección de Logística para la Sala de Quirófanos COVID 3er Piso de BMI mediante pedido del almacén de materiales 439 con un Precio Unitario de Lps. 75,353.88 y un impuesto de Lps. 11,303.08 siendo un Total en Lps. 86,656.93</t>
  </si>
  <si>
    <t>Covid- Regularización Del Gasto Por Concepto De Pago De Cuota Mensual De Contrato De Servicio De Mantenimiento Preventivo Y Correctivo Con Suministro De Repuestos Para Equipo De Radiología Según Contrato 26- He-2020. con un Precio Unitario de Lps. 1,207,332.44 y un impuesto de Lps. 181, 099.86 siendo un Total en Lps. 1, 388,432.31 Descripción De Servicio De Mantenimiento: Angiografía-Sala De Radiografía Intervencionista, Tomógrafo de 64 Cortes-Sala De Tomografía 2 Rx, Tomógrafo De 16 Cortes - Sala De Tomografía 1 Rx, Rayos X Estacionario - Sala 1 Rx, Rayos X Estacionario - Sala 2 Rx, Rayos X Estacionario - Sala 3 Rx, Rayos X Estacionario - Sala 4 Rx, Rayos X Portátil - Unidad De Cuidados Intensivos Neonatales, Rayos X Portátil - Emergencia Pediátrica, Rayos X Portátil - Ortopedia Adulto. Hospital Escuela 2020</t>
  </si>
  <si>
    <t>Covid- Regularización Del Gasto Por Concepto De Pago De Cuota Mensual mes de diciembre De Contrato De Servicio De Mantenimiento Preventivo Y Correctivo Con Suministro De Repuestos Para Equipo De Radiología Según Contrato 26- He-2020. con un Precio Unitario de Lps. 1,304,160.35 y un impuesto de Lps. 195,624.05 siendo un Total en Lps. 1, 499,784.4Descripción De Servicio De Mantenimiento: Angiografía-Sala De Radiografía Intervencionista, Tomógrafo de 64 Cortes-Sala De Tomografía 2 Rx, Tomógrafo De 16 Cortes - Sala De Tomografía 1 Rx, Rayos X Estacionario - Sala 1 Rx, Rayos X Estacionario - Sala 2 Rx, Rayos X Estacionario - Sala 3 Rx, Rayos X Estacionario - Sala 4 Rx, Rayos X Portátil - Unidad De Cuidados Intensivos Neonatales, Rayos X Portátil - Emergencia Pediátrica, Rayos X Portátil - Ortopedia Adulto. Hospital Escuela 2020</t>
  </si>
  <si>
    <t>Covid- Regularización del gasto por concepto de adquisición de medicamentos solicitado mediante pedido 66 realizado por el almacén de medicinas orden de compra 426  COVID-Fenitoina (Sodica) 50mg/ml. Se adquirieron 5,380 Amp. A un precio de 50.00 cada Frascos, NO pagan ISV.</t>
  </si>
  <si>
    <t>Covid- Regularización del gasto por concepto de complemento de pago de medicamento adquiridos vía fideicomiso, solicitado mediante MEMORANDUM DGAF-HEU-1331-2020/ OFICIO N°CI-HE-1971-2020A para adquisición de medicamentos vía fideicomiso, monto del pago L. 5,010,316.14 cantidad pagada por fuente 13 fondos covid L. 810,000.40 no pagan Impuesto Sobre Venta.</t>
  </si>
  <si>
    <t>Covid- Regularización del gasto por concepto de complemento para pago de la CD 67/2020 AR-HEU adquisición de Reactivos solicitado mediante pedido 30 COVID realizado por el almacén de Laboratorio se adquirieron; Electrolitos incluye: ( 4000 C/U,  NA,K,CL.) la cantidad de 90 set a un precio de L. 90,400, valor de impuesto L. 270,000.00 monto total L. 2,070,000.00.TROMBOREL  TP   (400 P) la cantidad de 85 set a un precio de L. 10,000.00, valor de impuesto L. 127,500.00 monto total L. 977,500.00.ACTIN-FSL  TPT   (400  P) la cantidad de 90 set a un precio de L. 10,000.00, valor de impuesto L. 135,000.00 monto total L. 1, 035,000.00.CARTUCHO DE MEDICION  (750  p) la cantidad de 32  set a un precio de L. 30,000.00, valor de impuesto L. 144,000.00 monto total L. 1, 104,000.00.CARTUCHO DE LAVADO (750   p) la cantidad de 35  set a un precio de L. 30,000.00, valor de impuesto L. 157,500.00 monto total L. 1, 207,500.00.AMY -  ALFA - AMILASA  (240 P)  la cantidad de 16  set a un precio de L. 1, 800.00, valor de impuesto L. 4,320.00 monto total L. 33,120.00.</t>
  </si>
  <si>
    <t>COVID- Regularización del gasto por concepto de pago de oxigeno médico, Oxigeno Gas 300 PC se adquirieron 206 cilindros a un precio de 207.00 lps no paga isv, total L. 42, 642.00  Oxigeno Liquido en MTS3 al 99.5% de Pureza Mínima se adquirieron 36802 MTS3 a un precio de 20.51 Lps. No pagan ISV, Total L. 754, 809.02, Nitrógeno Líquido (Envase de 20 Litros) se adquirieron 20 cilindros a un precio 153.50 lps  Incluye ISV por un monto de L. 460.50 total L. 3,530.50 correspondiente al mes Noviembre monto total de mes L. 800, 981.52  2020 Hospital escuela.</t>
  </si>
  <si>
    <t>COVID- Regularización del gasto por concepto de pago de oxigeno medico Deward Oxigeno Liquido 6600 PC se adquirieron 123 cilindros a un precio unitario de 3,828 Lps, total L. 470,844.00 no paga ISV, Oxigeno Gas 300 PC se adquirieron 687 cilindros a un precio de 207.00 lps no paga isv, total L. 142,209.00 Oxigeno Liquido en MTS3 al 99.5% de Pureza Mínima se adquirieron 38092 MTS3 a un precio de 20.51 Lps. No pagan ISV TOTAL L.781,266.92 Óxido Nitroso de 220 PC se adquirieron 2 cilindros a un precio 5,750.00 lps Incluye ISV correspondiente al mes Diciembre 2020 Hospital escuela.</t>
  </si>
  <si>
    <t>COVID- Regularización del gasto por concepto de pago Mascarillas Descartables con Protección N95 o su Equivalencia (COVID-19), se adquirieron 39, 000 und a un precio de L. 27.50 Según pedido 218-2020 elaborado por el Almacén Medico Quirúrgico. No pagan ISV.</t>
  </si>
  <si>
    <t>COVID- Regularización del gasto por concepto de pago Ropa descartable para Cirujano, se adquirieron 5,625 und a un precio de L. 120.00 Según pedido 239-2020 orden de compra 404 elaborado por el Almacén Médico Quirúrgico. No pagan ISV. Monto total a pagar L. 675,000.00, NOTA;  del presupuesto aprobado para el Objeto de gasto 39530 en la fuente 13 solo se contaba con un monto de L. 513, 880.88 para realizar el pago total de la orden de compra se utilizó 161,119.12 de la fuente 11 mismo objeto de gasto Material Médico Quirúrgico Menor.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</si>
</sst>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L&quot;* #,##0.00_-;\-&quot;L&quot;* #,##0.00_-;_-&quot;L&quot;* &quot;-&quot;??_-;_-@_-"/>
    <numFmt numFmtId="43" formatCode="_-* #,##0.00_-;\-* #,##0.00_-;_-* &quot;-&quot;??_-;_-@_-"/>
    <numFmt numFmtId="164" formatCode="_-* #,##0_-;\-* #,##0_-;_-* &quot;-&quot;??_-;_-@_-"/>
    <numFmt numFmtId="165" formatCode="_-[$$-540A]* #,##0.00_ ;_-[$$-540A]* \-#,##0.00\ ;_-[$$-540A]* &quot;-&quot;??_ ;_-@_ "/>
    <numFmt numFmtId="166" formatCode="_ &quot;L.&quot;\ * #,##0.00_ ;_ &quot;L.&quot;\ * \-#,##0.00_ ;_ &quot;L.&quot;\ * &quot;-&quot;??_ ;_ @_ "/>
    <numFmt numFmtId="167" formatCode="_-[$$-45C]* #,##0.00_ ;_-[$$-45C]* \-#,##0.00\ ;_-[$$-45C]* &quot;-&quot;??_ ;_-@_ "/>
    <numFmt numFmtId="168" formatCode="_-[$$-80A]* #,##0.00_-;\-[$$-80A]* #,##0.00_-;_-[$$-80A]* &quot;-&quot;??_-;_-@_-"/>
  </numFmts>
  <fonts count="11" x14ac:knownFonts="1">
    <font>
      <sz val="11"/>
      <color theme="1"/>
      <name val="Calibri"/>
      <family val="2"/>
      <scheme val="minor"/>
    </font>
    <font>
      <sz val="11"/>
      <color theme="1"/>
      <name val="Calibri"/>
      <family val="2"/>
      <scheme val="minor"/>
    </font>
    <font>
      <b/>
      <sz val="16"/>
      <name val="Calibri"/>
      <family val="2"/>
    </font>
    <font>
      <b/>
      <sz val="16"/>
      <color indexed="10"/>
      <name val="Calibri"/>
      <family val="2"/>
    </font>
    <font>
      <b/>
      <sz val="16"/>
      <name val="Calibri"/>
      <family val="2"/>
      <scheme val="minor"/>
    </font>
    <font>
      <sz val="11"/>
      <name val="Calibri"/>
      <family val="2"/>
      <scheme val="minor"/>
    </font>
    <font>
      <b/>
      <sz val="11"/>
      <name val="Calibri"/>
      <family val="2"/>
      <scheme val="minor"/>
    </font>
    <font>
      <sz val="8"/>
      <color rgb="FF747474"/>
      <name val="Arial"/>
      <family val="2"/>
    </font>
    <font>
      <sz val="11"/>
      <color rgb="FF000000"/>
      <name val="Calibri"/>
      <family val="2"/>
      <scheme val="minor"/>
    </font>
    <font>
      <sz val="11"/>
      <color rgb="FF222222"/>
      <name val="Calibri"/>
      <family val="2"/>
      <scheme val="minor"/>
    </font>
    <font>
      <sz val="8"/>
      <color rgb="FFFF000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3">
    <xf numFmtId="0" fontId="0" fillId="0" borderId="0" xfId="0"/>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64" fontId="5" fillId="0" borderId="0" xfId="1" applyNumberFormat="1" applyFont="1" applyAlignment="1">
      <alignment horizontal="center" vertical="center" wrapText="1"/>
    </xf>
    <xf numFmtId="44" fontId="5" fillId="0" borderId="0" xfId="2" applyFont="1" applyAlignment="1">
      <alignment vertical="center" wrapText="1"/>
    </xf>
    <xf numFmtId="0" fontId="6" fillId="0" borderId="0" xfId="0" applyFont="1" applyAlignment="1">
      <alignment vertical="center" wrapText="1"/>
    </xf>
    <xf numFmtId="43" fontId="6" fillId="0" borderId="0" xfId="1" applyFont="1" applyAlignment="1">
      <alignment horizontal="center" vertical="center" wrapText="1"/>
    </xf>
    <xf numFmtId="0" fontId="6" fillId="2" borderId="2"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11" xfId="0" applyFont="1" applyFill="1" applyBorder="1" applyAlignment="1">
      <alignment horizontal="center" vertical="center" wrapText="1"/>
    </xf>
    <xf numFmtId="43" fontId="6" fillId="4" borderId="11" xfId="1" applyFont="1" applyFill="1" applyBorder="1" applyAlignment="1">
      <alignment horizontal="center" vertical="center" wrapText="1"/>
    </xf>
    <xf numFmtId="44" fontId="6" fillId="4" borderId="11" xfId="2" applyFont="1" applyFill="1" applyBorder="1" applyAlignment="1">
      <alignment vertical="center" wrapText="1"/>
    </xf>
    <xf numFmtId="43" fontId="6" fillId="4" borderId="12" xfId="1" applyFont="1" applyFill="1" applyBorder="1" applyAlignment="1">
      <alignment vertical="center" wrapText="1"/>
    </xf>
    <xf numFmtId="43" fontId="6" fillId="4" borderId="13" xfId="1" applyFont="1" applyFill="1" applyBorder="1" applyAlignment="1">
      <alignment vertical="center" wrapText="1"/>
    </xf>
    <xf numFmtId="43" fontId="6" fillId="4" borderId="11" xfId="1" applyFont="1" applyFill="1" applyBorder="1" applyAlignment="1">
      <alignment vertical="center" wrapText="1"/>
    </xf>
    <xf numFmtId="43" fontId="5" fillId="0" borderId="0" xfId="0" applyNumberFormat="1" applyFont="1" applyAlignment="1">
      <alignment vertical="center" wrapText="1"/>
    </xf>
    <xf numFmtId="0" fontId="6" fillId="5" borderId="14" xfId="0" applyFont="1" applyFill="1" applyBorder="1" applyAlignment="1">
      <alignment horizontal="left" vertical="center" wrapText="1"/>
    </xf>
    <xf numFmtId="0" fontId="6" fillId="5" borderId="15" xfId="0" applyFont="1" applyFill="1" applyBorder="1" applyAlignment="1">
      <alignment vertical="center" wrapText="1"/>
    </xf>
    <xf numFmtId="0" fontId="6" fillId="5" borderId="15" xfId="0" applyFont="1" applyFill="1" applyBorder="1" applyAlignment="1">
      <alignment horizontal="center" vertical="center" wrapText="1"/>
    </xf>
    <xf numFmtId="44" fontId="6" fillId="5" borderId="15" xfId="2" applyFont="1" applyFill="1" applyBorder="1" applyAlignment="1">
      <alignment horizontal="center" vertical="center" wrapText="1"/>
    </xf>
    <xf numFmtId="43" fontId="6" fillId="5" borderId="19" xfId="1" applyFont="1" applyFill="1" applyBorder="1" applyAlignment="1">
      <alignment vertical="center" wrapText="1"/>
    </xf>
    <xf numFmtId="43" fontId="6" fillId="5" borderId="15" xfId="1" applyFont="1" applyFill="1" applyBorder="1" applyAlignment="1">
      <alignment horizontal="center" vertical="center" wrapText="1"/>
    </xf>
    <xf numFmtId="43" fontId="6" fillId="5" borderId="15" xfId="1" applyFont="1" applyFill="1" applyBorder="1" applyAlignment="1">
      <alignment vertical="center" wrapText="1"/>
    </xf>
    <xf numFmtId="0" fontId="0" fillId="0" borderId="20" xfId="0" applyFont="1" applyBorder="1" applyAlignment="1">
      <alignmen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164" fontId="5" fillId="0" borderId="21" xfId="1" applyNumberFormat="1" applyFont="1" applyBorder="1" applyAlignment="1">
      <alignment horizontal="center" vertical="center" wrapText="1"/>
    </xf>
    <xf numFmtId="44" fontId="5" fillId="0" borderId="21" xfId="2" applyFont="1" applyBorder="1" applyAlignment="1">
      <alignment vertical="center" wrapText="1"/>
    </xf>
    <xf numFmtId="43" fontId="5" fillId="0" borderId="22" xfId="1" applyFont="1" applyBorder="1" applyAlignment="1">
      <alignment vertical="center" wrapText="1"/>
    </xf>
    <xf numFmtId="43" fontId="5" fillId="0" borderId="18" xfId="1" applyFont="1" applyBorder="1" applyAlignment="1">
      <alignment horizontal="center" vertical="center" wrapText="1"/>
    </xf>
    <xf numFmtId="43" fontId="5" fillId="0" borderId="21" xfId="1" applyFont="1" applyBorder="1" applyAlignment="1">
      <alignment horizontal="center" vertical="center" wrapText="1"/>
    </xf>
    <xf numFmtId="43" fontId="5" fillId="0" borderId="21" xfId="1" applyFont="1" applyBorder="1" applyAlignment="1">
      <alignment vertical="center" wrapText="1"/>
    </xf>
    <xf numFmtId="43" fontId="5" fillId="0" borderId="16" xfId="0" applyNumberFormat="1" applyFont="1" applyBorder="1" applyAlignment="1">
      <alignment vertical="center" wrapText="1"/>
    </xf>
    <xf numFmtId="43" fontId="5" fillId="0" borderId="21" xfId="0" applyNumberFormat="1" applyFont="1" applyBorder="1" applyAlignment="1">
      <alignment vertical="center" wrapText="1"/>
    </xf>
    <xf numFmtId="0" fontId="6" fillId="5" borderId="20" xfId="0" applyFont="1" applyFill="1" applyBorder="1" applyAlignment="1">
      <alignment horizontal="left" vertical="center" wrapText="1"/>
    </xf>
    <xf numFmtId="0" fontId="5" fillId="5" borderId="21" xfId="0" applyFont="1" applyFill="1" applyBorder="1" applyAlignment="1">
      <alignment vertical="center" wrapText="1"/>
    </xf>
    <xf numFmtId="0" fontId="5" fillId="5" borderId="21" xfId="0" applyFont="1" applyFill="1" applyBorder="1" applyAlignment="1">
      <alignment horizontal="center" vertical="center" wrapText="1"/>
    </xf>
    <xf numFmtId="164" fontId="6" fillId="5" borderId="21" xfId="1" applyNumberFormat="1" applyFont="1" applyFill="1" applyBorder="1" applyAlignment="1">
      <alignment horizontal="center" vertical="center" wrapText="1"/>
    </xf>
    <xf numFmtId="44" fontId="6" fillId="5" borderId="21" xfId="2" applyFont="1" applyFill="1" applyBorder="1" applyAlignment="1">
      <alignment horizontal="center" vertical="center" wrapText="1"/>
    </xf>
    <xf numFmtId="164" fontId="6" fillId="5" borderId="22" xfId="1" applyNumberFormat="1" applyFont="1" applyFill="1" applyBorder="1" applyAlignment="1">
      <alignment horizontal="center" vertical="center" wrapText="1"/>
    </xf>
    <xf numFmtId="43" fontId="6" fillId="5" borderId="18" xfId="1" applyFont="1" applyFill="1" applyBorder="1" applyAlignment="1">
      <alignment vertical="center" wrapText="1"/>
    </xf>
    <xf numFmtId="43" fontId="6" fillId="5" borderId="21" xfId="1" applyFont="1" applyFill="1" applyBorder="1" applyAlignment="1">
      <alignment horizontal="center" vertical="center" wrapText="1"/>
    </xf>
    <xf numFmtId="43" fontId="6" fillId="5" borderId="21" xfId="1" applyFont="1" applyFill="1" applyBorder="1" applyAlignment="1">
      <alignment vertical="center" wrapText="1"/>
    </xf>
    <xf numFmtId="0" fontId="5" fillId="0" borderId="20" xfId="0" applyFont="1" applyBorder="1" applyAlignment="1">
      <alignment horizontal="left" vertical="center" wrapText="1"/>
    </xf>
    <xf numFmtId="41" fontId="5" fillId="0" borderId="21" xfId="1" applyNumberFormat="1" applyFont="1" applyBorder="1" applyAlignment="1">
      <alignment horizontal="center" vertical="center" wrapText="1"/>
    </xf>
    <xf numFmtId="44" fontId="5" fillId="0" borderId="21" xfId="2" applyFont="1" applyBorder="1" applyAlignment="1">
      <alignment horizontal="center" vertical="center" wrapText="1"/>
    </xf>
    <xf numFmtId="0" fontId="5" fillId="5" borderId="21" xfId="0" applyFont="1" applyFill="1" applyBorder="1" applyAlignment="1">
      <alignment horizontal="right" vertical="center" wrapText="1"/>
    </xf>
    <xf numFmtId="43" fontId="6" fillId="5" borderId="18" xfId="1" applyFont="1" applyFill="1" applyBorder="1" applyAlignment="1">
      <alignment horizontal="right" vertical="center" wrapText="1"/>
    </xf>
    <xf numFmtId="43" fontId="6" fillId="5" borderId="21" xfId="1" applyFont="1" applyFill="1" applyBorder="1" applyAlignment="1">
      <alignment horizontal="right" vertical="center" wrapText="1"/>
    </xf>
    <xf numFmtId="0" fontId="0" fillId="0" borderId="21" xfId="0" applyFont="1" applyBorder="1" applyAlignment="1">
      <alignment horizontal="center" vertical="center" wrapText="1"/>
    </xf>
    <xf numFmtId="0" fontId="5" fillId="0" borderId="18" xfId="1" applyNumberFormat="1" applyFont="1" applyBorder="1" applyAlignment="1">
      <alignment horizontal="right" vertical="center" wrapText="1"/>
    </xf>
    <xf numFmtId="43" fontId="5" fillId="0" borderId="18" xfId="1" applyFont="1" applyBorder="1" applyAlignment="1">
      <alignment horizontal="right" vertical="center" wrapText="1"/>
    </xf>
    <xf numFmtId="0" fontId="5" fillId="0" borderId="0" xfId="0" applyFont="1" applyFill="1" applyAlignment="1">
      <alignment vertical="center" wrapText="1"/>
    </xf>
    <xf numFmtId="0" fontId="5" fillId="0" borderId="20" xfId="0" applyFont="1" applyBorder="1" applyAlignment="1">
      <alignment vertical="center"/>
    </xf>
    <xf numFmtId="0" fontId="5" fillId="0" borderId="21" xfId="0" applyFont="1" applyFill="1" applyBorder="1" applyAlignment="1">
      <alignment vertical="center" wrapText="1"/>
    </xf>
    <xf numFmtId="0" fontId="5" fillId="0" borderId="21" xfId="0" applyFont="1" applyFill="1" applyBorder="1" applyAlignment="1">
      <alignment horizontal="center" vertical="center" wrapText="1"/>
    </xf>
    <xf numFmtId="0" fontId="5" fillId="0" borderId="21" xfId="1" applyNumberFormat="1" applyFont="1" applyBorder="1" applyAlignment="1">
      <alignment horizontal="center" vertical="center"/>
    </xf>
    <xf numFmtId="44" fontId="1" fillId="0" borderId="16" xfId="2" applyFont="1" applyBorder="1" applyAlignment="1">
      <alignment vertical="center"/>
    </xf>
    <xf numFmtId="164" fontId="5" fillId="0" borderId="22" xfId="1" applyNumberFormat="1" applyFont="1" applyFill="1" applyBorder="1" applyAlignment="1">
      <alignment horizontal="center" vertical="center" wrapText="1"/>
    </xf>
    <xf numFmtId="43" fontId="6" fillId="0" borderId="18" xfId="1" applyFont="1" applyFill="1" applyBorder="1" applyAlignment="1">
      <alignment vertical="center" wrapText="1"/>
    </xf>
    <xf numFmtId="43" fontId="6" fillId="0" borderId="21" xfId="1" applyFont="1" applyFill="1" applyBorder="1" applyAlignment="1">
      <alignment horizontal="center" vertical="center" wrapText="1"/>
    </xf>
    <xf numFmtId="43" fontId="6" fillId="0" borderId="21" xfId="1" applyFont="1" applyFill="1" applyBorder="1" applyAlignment="1">
      <alignment vertical="center" wrapText="1"/>
    </xf>
    <xf numFmtId="43" fontId="5" fillId="0" borderId="0" xfId="0" applyNumberFormat="1" applyFont="1" applyFill="1" applyAlignment="1">
      <alignment vertical="center" wrapText="1"/>
    </xf>
    <xf numFmtId="43" fontId="5" fillId="0" borderId="21" xfId="0" applyNumberFormat="1" applyFont="1" applyFill="1" applyBorder="1" applyAlignment="1">
      <alignment vertical="center" wrapText="1"/>
    </xf>
    <xf numFmtId="44" fontId="1" fillId="0" borderId="23" xfId="2" applyFont="1" applyBorder="1" applyAlignment="1">
      <alignment vertical="center"/>
    </xf>
    <xf numFmtId="164" fontId="5" fillId="5" borderId="21" xfId="1" applyNumberFormat="1" applyFont="1" applyFill="1" applyBorder="1" applyAlignment="1">
      <alignment horizontal="center" vertical="center" wrapText="1"/>
    </xf>
    <xf numFmtId="44" fontId="5" fillId="5" borderId="21" xfId="2" applyFont="1" applyFill="1" applyBorder="1" applyAlignment="1">
      <alignment horizontal="right" vertical="center" wrapText="1"/>
    </xf>
    <xf numFmtId="44" fontId="6" fillId="5" borderId="21" xfId="2" applyFont="1" applyFill="1" applyBorder="1" applyAlignment="1">
      <alignment horizontal="right" vertical="center" wrapText="1"/>
    </xf>
    <xf numFmtId="43" fontId="6" fillId="5" borderId="22" xfId="1" applyFont="1" applyFill="1" applyBorder="1" applyAlignment="1">
      <alignment horizontal="right" vertical="center" wrapText="1"/>
    </xf>
    <xf numFmtId="0" fontId="6" fillId="6" borderId="20" xfId="0" applyFont="1" applyFill="1" applyBorder="1" applyAlignment="1">
      <alignment horizontal="left" vertical="center" wrapText="1"/>
    </xf>
    <xf numFmtId="0" fontId="6" fillId="6" borderId="21" xfId="0" applyFont="1" applyFill="1" applyBorder="1" applyAlignment="1">
      <alignment horizontal="center" vertical="center" wrapText="1"/>
    </xf>
    <xf numFmtId="164" fontId="6" fillId="6" borderId="21" xfId="1" applyNumberFormat="1" applyFont="1" applyFill="1" applyBorder="1" applyAlignment="1">
      <alignment horizontal="center" vertical="center" wrapText="1"/>
    </xf>
    <xf numFmtId="44" fontId="6" fillId="6" borderId="21" xfId="2" applyFont="1" applyFill="1" applyBorder="1" applyAlignment="1">
      <alignment vertical="center" wrapText="1"/>
    </xf>
    <xf numFmtId="43" fontId="6" fillId="6" borderId="22" xfId="1" applyFont="1" applyFill="1" applyBorder="1" applyAlignment="1">
      <alignment vertical="center" wrapText="1"/>
    </xf>
    <xf numFmtId="43" fontId="6" fillId="6" borderId="18" xfId="1" applyFont="1" applyFill="1" applyBorder="1" applyAlignment="1">
      <alignment vertical="center" wrapText="1"/>
    </xf>
    <xf numFmtId="43" fontId="6" fillId="6" borderId="21" xfId="1" applyFont="1" applyFill="1" applyBorder="1" applyAlignment="1">
      <alignment horizontal="center" vertical="center" wrapText="1"/>
    </xf>
    <xf numFmtId="43" fontId="6" fillId="6" borderId="21" xfId="1" applyFont="1" applyFill="1" applyBorder="1" applyAlignment="1">
      <alignment vertical="center" wrapText="1"/>
    </xf>
    <xf numFmtId="44" fontId="5" fillId="0" borderId="0" xfId="0" applyNumberFormat="1" applyFont="1" applyAlignment="1">
      <alignment vertical="center" wrapText="1"/>
    </xf>
    <xf numFmtId="0" fontId="5" fillId="0" borderId="21" xfId="0" applyFont="1" applyBorder="1" applyAlignment="1">
      <alignment horizontal="left" vertical="center" wrapText="1"/>
    </xf>
    <xf numFmtId="0" fontId="5" fillId="0" borderId="21" xfId="0" applyFont="1" applyBorder="1" applyAlignment="1">
      <alignment horizontal="right" vertical="center" wrapText="1"/>
    </xf>
    <xf numFmtId="0" fontId="5" fillId="0" borderId="15" xfId="0" applyFont="1" applyBorder="1" applyAlignment="1">
      <alignment horizontal="center" vertical="center" wrapText="1"/>
    </xf>
    <xf numFmtId="165" fontId="5" fillId="0" borderId="21" xfId="1" applyNumberFormat="1" applyFont="1" applyBorder="1" applyAlignment="1">
      <alignment vertical="center" wrapText="1"/>
    </xf>
    <xf numFmtId="14" fontId="5" fillId="0" borderId="18" xfId="1" applyNumberFormat="1" applyFont="1" applyBorder="1" applyAlignment="1">
      <alignment horizontal="right" vertical="center" wrapText="1"/>
    </xf>
    <xf numFmtId="43" fontId="5" fillId="0" borderId="21" xfId="1" applyFont="1" applyBorder="1" applyAlignment="1">
      <alignment horizontal="left" vertical="center" wrapText="1"/>
    </xf>
    <xf numFmtId="0" fontId="0" fillId="0" borderId="21" xfId="0" applyFont="1" applyFill="1" applyBorder="1" applyAlignment="1">
      <alignment horizontal="righ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43" fontId="1" fillId="0" borderId="18" xfId="1" applyFont="1" applyBorder="1" applyAlignment="1">
      <alignment horizontal="center" vertical="center" wrapText="1"/>
    </xf>
    <xf numFmtId="43" fontId="1" fillId="0" borderId="21" xfId="1" applyFont="1" applyBorder="1" applyAlignment="1">
      <alignment horizontal="center" vertical="center" wrapText="1"/>
    </xf>
    <xf numFmtId="43" fontId="1" fillId="0" borderId="21" xfId="1" applyFont="1" applyBorder="1" applyAlignment="1">
      <alignment vertical="center" wrapText="1"/>
    </xf>
    <xf numFmtId="43" fontId="0" fillId="0" borderId="0" xfId="0" applyNumberFormat="1" applyFont="1" applyAlignment="1">
      <alignment vertical="center" wrapText="1"/>
    </xf>
    <xf numFmtId="43" fontId="0" fillId="0" borderId="21" xfId="0" applyNumberFormat="1" applyFont="1" applyBorder="1" applyAlignment="1">
      <alignment vertical="center" wrapText="1"/>
    </xf>
    <xf numFmtId="0" fontId="0" fillId="0" borderId="21" xfId="0" applyFont="1" applyFill="1" applyBorder="1" applyAlignment="1">
      <alignment horizontal="center" vertical="center" wrapText="1"/>
    </xf>
    <xf numFmtId="0" fontId="0" fillId="0" borderId="21" xfId="0" applyFont="1" applyBorder="1" applyAlignment="1">
      <alignment horizontal="right" vertical="center" wrapText="1"/>
    </xf>
    <xf numFmtId="44" fontId="1" fillId="0" borderId="21" xfId="2" applyFont="1" applyBorder="1" applyAlignment="1">
      <alignment horizontal="right" vertical="center" wrapText="1"/>
    </xf>
    <xf numFmtId="165" fontId="1" fillId="0" borderId="22" xfId="1" applyNumberFormat="1" applyFont="1" applyBorder="1" applyAlignment="1">
      <alignment vertical="center" wrapText="1"/>
    </xf>
    <xf numFmtId="0" fontId="1" fillId="0" borderId="21" xfId="1" applyNumberFormat="1" applyFont="1" applyBorder="1" applyAlignment="1">
      <alignment horizontal="center" vertical="center" wrapText="1"/>
    </xf>
    <xf numFmtId="0" fontId="6" fillId="5" borderId="20" xfId="0" applyFont="1" applyFill="1" applyBorder="1" applyAlignment="1">
      <alignment horizontal="center" vertical="center" wrapText="1"/>
    </xf>
    <xf numFmtId="0" fontId="5" fillId="0" borderId="20" xfId="0" applyFont="1" applyBorder="1" applyAlignment="1">
      <alignment vertical="center" wrapText="1"/>
    </xf>
    <xf numFmtId="0" fontId="5" fillId="0" borderId="21" xfId="1" applyNumberFormat="1" applyFont="1" applyBorder="1" applyAlignment="1">
      <alignment horizontal="center" vertical="center" wrapText="1"/>
    </xf>
    <xf numFmtId="43" fontId="5" fillId="0" borderId="22" xfId="1" applyNumberFormat="1" applyFont="1" applyBorder="1" applyAlignment="1">
      <alignment vertical="center" wrapText="1"/>
    </xf>
    <xf numFmtId="14" fontId="5" fillId="0" borderId="18" xfId="1" applyNumberFormat="1" applyFont="1" applyBorder="1" applyAlignment="1">
      <alignment vertical="center" wrapText="1"/>
    </xf>
    <xf numFmtId="44" fontId="5" fillId="0" borderId="21" xfId="2" applyFont="1" applyBorder="1" applyAlignment="1">
      <alignment horizontal="right" vertical="center" wrapText="1"/>
    </xf>
    <xf numFmtId="16" fontId="5" fillId="0" borderId="18" xfId="1" applyNumberFormat="1" applyFont="1" applyBorder="1" applyAlignment="1">
      <alignment horizontal="center" vertical="center" wrapText="1"/>
    </xf>
    <xf numFmtId="0" fontId="6" fillId="7" borderId="6" xfId="0" applyFont="1" applyFill="1" applyBorder="1" applyAlignment="1">
      <alignment horizontal="left" vertical="center" wrapText="1"/>
    </xf>
    <xf numFmtId="0" fontId="6" fillId="7" borderId="7" xfId="0" applyFont="1" applyFill="1" applyBorder="1" applyAlignment="1">
      <alignment vertical="center" wrapText="1"/>
    </xf>
    <xf numFmtId="0" fontId="6" fillId="7" borderId="7" xfId="0" applyFont="1" applyFill="1" applyBorder="1" applyAlignment="1">
      <alignment horizontal="center" vertical="center" wrapText="1"/>
    </xf>
    <xf numFmtId="44" fontId="6" fillId="7" borderId="7" xfId="2" applyFont="1" applyFill="1" applyBorder="1" applyAlignment="1">
      <alignment vertical="center" wrapText="1"/>
    </xf>
    <xf numFmtId="43" fontId="5" fillId="0" borderId="0" xfId="0" applyNumberFormat="1" applyFont="1" applyBorder="1" applyAlignment="1">
      <alignment vertical="center" wrapText="1"/>
    </xf>
    <xf numFmtId="0" fontId="5" fillId="0" borderId="20" xfId="0" applyFont="1" applyFill="1" applyBorder="1" applyAlignment="1">
      <alignment vertical="center"/>
    </xf>
    <xf numFmtId="43" fontId="5" fillId="0" borderId="18" xfId="1" applyFont="1" applyBorder="1" applyAlignment="1">
      <alignment vertical="center" wrapText="1"/>
    </xf>
    <xf numFmtId="0" fontId="5" fillId="0" borderId="20" xfId="0" applyFont="1" applyFill="1" applyBorder="1" applyAlignment="1">
      <alignment vertical="center"/>
    </xf>
    <xf numFmtId="0" fontId="0" fillId="0" borderId="21" xfId="0" applyFont="1" applyFill="1" applyBorder="1" applyAlignment="1">
      <alignment horizontal="center" vertical="center" wrapText="1"/>
    </xf>
    <xf numFmtId="0" fontId="5" fillId="0" borderId="0" xfId="0" applyFont="1" applyAlignment="1">
      <alignment vertical="center" wrapText="1"/>
    </xf>
    <xf numFmtId="164" fontId="5" fillId="0" borderId="21" xfId="4" applyNumberFormat="1" applyFont="1" applyFill="1" applyBorder="1" applyAlignment="1">
      <alignment vertical="center" wrapText="1"/>
    </xf>
    <xf numFmtId="0" fontId="5" fillId="0" borderId="20" xfId="0" applyFont="1" applyFill="1" applyBorder="1" applyAlignment="1">
      <alignment vertical="center"/>
    </xf>
    <xf numFmtId="164" fontId="5" fillId="0" borderId="21" xfId="4" applyNumberFormat="1" applyFont="1" applyFill="1" applyBorder="1" applyAlignment="1">
      <alignment vertical="center" wrapText="1"/>
    </xf>
    <xf numFmtId="0" fontId="0" fillId="0" borderId="21" xfId="0" applyFont="1" applyFill="1" applyBorder="1" applyAlignment="1">
      <alignment horizontal="center" vertical="center" wrapText="1"/>
    </xf>
    <xf numFmtId="41" fontId="5" fillId="0" borderId="17" xfId="1" applyNumberFormat="1" applyFont="1" applyBorder="1" applyAlignment="1">
      <alignment horizontal="center" vertical="center" wrapText="1"/>
    </xf>
    <xf numFmtId="44" fontId="5" fillId="0" borderId="18" xfId="2" applyFont="1" applyBorder="1" applyAlignment="1">
      <alignment horizontal="center" vertical="center" wrapText="1"/>
    </xf>
    <xf numFmtId="165" fontId="1" fillId="0" borderId="21" xfId="1" applyNumberFormat="1" applyFont="1" applyBorder="1" applyAlignment="1">
      <alignment vertical="center" wrapText="1"/>
    </xf>
    <xf numFmtId="164" fontId="5" fillId="0" borderId="16" xfId="1"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1" xfId="0" applyFill="1" applyBorder="1" applyAlignment="1">
      <alignment horizontal="center"/>
    </xf>
    <xf numFmtId="166" fontId="0" fillId="0" borderId="21" xfId="0" applyNumberFormat="1" applyFill="1" applyBorder="1"/>
    <xf numFmtId="167" fontId="0" fillId="0" borderId="21" xfId="0" applyNumberFormat="1" applyFill="1" applyBorder="1"/>
    <xf numFmtId="166" fontId="0" fillId="0" borderId="23" xfId="0" applyNumberFormat="1" applyFill="1" applyBorder="1"/>
    <xf numFmtId="167" fontId="0" fillId="0" borderId="16" xfId="0" applyNumberFormat="1" applyFill="1" applyBorder="1"/>
    <xf numFmtId="44" fontId="5" fillId="0" borderId="23" xfId="2"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horizontal="right" vertical="center" wrapText="1"/>
    </xf>
    <xf numFmtId="0" fontId="5" fillId="0" borderId="26" xfId="1" applyNumberFormat="1" applyFont="1" applyBorder="1" applyAlignment="1">
      <alignment horizontal="center" vertical="center" wrapText="1"/>
    </xf>
    <xf numFmtId="44" fontId="5" fillId="0" borderId="19" xfId="2" applyFont="1" applyBorder="1" applyAlignment="1">
      <alignment horizontal="right" vertical="center" wrapText="1"/>
    </xf>
    <xf numFmtId="44" fontId="5" fillId="0" borderId="15" xfId="2" applyFont="1" applyBorder="1" applyAlignment="1">
      <alignment horizontal="right" vertical="center" wrapText="1"/>
    </xf>
    <xf numFmtId="43" fontId="5" fillId="0" borderId="23" xfId="1" applyFont="1" applyBorder="1" applyAlignment="1">
      <alignment vertical="center" wrapText="1"/>
    </xf>
    <xf numFmtId="16" fontId="5" fillId="0" borderId="0" xfId="1" applyNumberFormat="1" applyFont="1" applyBorder="1" applyAlignment="1">
      <alignment horizontal="center" vertical="center" wrapText="1"/>
    </xf>
    <xf numFmtId="43" fontId="5" fillId="0" borderId="0" xfId="1" applyFont="1" applyBorder="1" applyAlignment="1">
      <alignment horizontal="center" vertical="center" wrapText="1"/>
    </xf>
    <xf numFmtId="43" fontId="5" fillId="0" borderId="0" xfId="1" applyFont="1" applyBorder="1" applyAlignment="1">
      <alignment vertical="center" wrapText="1"/>
    </xf>
    <xf numFmtId="0" fontId="5" fillId="0" borderId="0" xfId="0" applyFont="1" applyFill="1" applyBorder="1" applyAlignment="1">
      <alignment horizontal="center" vertical="center" wrapText="1"/>
    </xf>
    <xf numFmtId="49" fontId="0" fillId="0" borderId="21" xfId="0" applyNumberFormat="1" applyFill="1" applyBorder="1" applyAlignment="1">
      <alignment wrapText="1"/>
    </xf>
    <xf numFmtId="0" fontId="0" fillId="0" borderId="21" xfId="0" applyFill="1" applyBorder="1" applyAlignment="1">
      <alignment horizontal="center" vertical="center"/>
    </xf>
    <xf numFmtId="166" fontId="0" fillId="0" borderId="21" xfId="0" applyNumberFormat="1" applyFill="1" applyBorder="1" applyAlignment="1">
      <alignment vertical="center"/>
    </xf>
    <xf numFmtId="167" fontId="0" fillId="0" borderId="21" xfId="0" applyNumberFormat="1" applyFill="1" applyBorder="1" applyAlignment="1">
      <alignment vertical="center"/>
    </xf>
    <xf numFmtId="4" fontId="7" fillId="0" borderId="0" xfId="0" applyNumberFormat="1" applyFont="1"/>
    <xf numFmtId="43" fontId="0" fillId="0" borderId="0" xfId="1" applyFont="1"/>
    <xf numFmtId="0" fontId="0" fillId="0" borderId="0" xfId="0" quotePrefix="1" applyFill="1" applyAlignment="1">
      <alignment vertical="center" wrapText="1"/>
    </xf>
    <xf numFmtId="49" fontId="0" fillId="0" borderId="21" xfId="0" quotePrefix="1" applyNumberFormat="1" applyFill="1" applyBorder="1" applyAlignment="1">
      <alignment wrapText="1"/>
    </xf>
    <xf numFmtId="0" fontId="0" fillId="0" borderId="21" xfId="0" quotePrefix="1" applyFill="1" applyBorder="1" applyAlignment="1">
      <alignment vertical="center" wrapText="1"/>
    </xf>
    <xf numFmtId="0" fontId="0" fillId="0" borderId="21" xfId="0" quotePrefix="1" applyFill="1" applyBorder="1" applyAlignment="1">
      <alignment wrapText="1"/>
    </xf>
    <xf numFmtId="0" fontId="8" fillId="0" borderId="21" xfId="0" quotePrefix="1" applyFont="1" applyFill="1" applyBorder="1" applyAlignment="1">
      <alignment vertical="center" wrapText="1"/>
    </xf>
    <xf numFmtId="0" fontId="8" fillId="0" borderId="21" xfId="0" quotePrefix="1" applyFont="1" applyFill="1" applyBorder="1" applyAlignment="1">
      <alignment wrapText="1"/>
    </xf>
    <xf numFmtId="0" fontId="8" fillId="0" borderId="0" xfId="0" quotePrefix="1" applyFont="1" applyFill="1" applyAlignment="1">
      <alignment vertical="center" wrapText="1"/>
    </xf>
    <xf numFmtId="0" fontId="0" fillId="0" borderId="21" xfId="0" quotePrefix="1" applyBorder="1" applyAlignment="1">
      <alignment horizontal="justify" vertical="center"/>
    </xf>
    <xf numFmtId="0" fontId="9" fillId="0" borderId="21" xfId="0" quotePrefix="1" applyFont="1" applyBorder="1" applyAlignment="1">
      <alignment vertical="center" wrapText="1"/>
    </xf>
    <xf numFmtId="0" fontId="0" fillId="0" borderId="21" xfId="0" quotePrefix="1" applyBorder="1" applyAlignment="1">
      <alignment vertical="center" wrapText="1"/>
    </xf>
    <xf numFmtId="0" fontId="0" fillId="0" borderId="18" xfId="0" quotePrefix="1" applyBorder="1" applyAlignment="1">
      <alignment vertical="center" wrapText="1"/>
    </xf>
    <xf numFmtId="0" fontId="0" fillId="0" borderId="17" xfId="0" applyFill="1" applyBorder="1" applyAlignment="1">
      <alignment horizontal="center" vertical="center"/>
    </xf>
    <xf numFmtId="166" fontId="0" fillId="0" borderId="18" xfId="0" applyNumberFormat="1" applyFill="1" applyBorder="1" applyAlignment="1">
      <alignment vertical="center"/>
    </xf>
    <xf numFmtId="167" fontId="0" fillId="0" borderId="16" xfId="0" applyNumberFormat="1" applyFill="1" applyBorder="1" applyAlignment="1">
      <alignment vertical="center"/>
    </xf>
    <xf numFmtId="168" fontId="6" fillId="5" borderId="15" xfId="2" applyNumberFormat="1" applyFont="1" applyFill="1" applyBorder="1" applyAlignment="1">
      <alignment horizontal="center" vertical="center" wrapText="1"/>
    </xf>
    <xf numFmtId="44" fontId="5" fillId="0" borderId="0" xfId="0" applyNumberFormat="1" applyFont="1" applyFill="1" applyAlignment="1">
      <alignment vertical="center" wrapText="1"/>
    </xf>
    <xf numFmtId="4" fontId="5" fillId="0" borderId="0" xfId="0" applyNumberFormat="1" applyFont="1" applyFill="1" applyAlignment="1">
      <alignment vertical="center" wrapText="1"/>
    </xf>
    <xf numFmtId="4" fontId="10" fillId="0" borderId="0" xfId="0" applyNumberFormat="1" applyFont="1"/>
    <xf numFmtId="43" fontId="5" fillId="0" borderId="22" xfId="1" applyFont="1" applyFill="1" applyBorder="1" applyAlignment="1">
      <alignment vertical="center" wrapText="1"/>
    </xf>
    <xf numFmtId="44" fontId="1" fillId="0" borderId="23" xfId="2" applyFont="1" applyFill="1" applyBorder="1" applyAlignment="1">
      <alignment vertical="center"/>
    </xf>
    <xf numFmtId="44" fontId="5" fillId="0" borderId="21" xfId="2" applyFont="1" applyFill="1" applyBorder="1" applyAlignment="1">
      <alignment vertical="center" wrapText="1"/>
    </xf>
    <xf numFmtId="0" fontId="6" fillId="2" borderId="1" xfId="0" applyFont="1" applyFill="1" applyBorder="1" applyAlignment="1">
      <alignment vertical="center" wrapText="1"/>
    </xf>
    <xf numFmtId="0" fontId="6" fillId="3" borderId="2" xfId="0" applyFont="1" applyFill="1" applyBorder="1" applyAlignment="1">
      <alignment vertical="center" wrapText="1"/>
    </xf>
    <xf numFmtId="164" fontId="6" fillId="3" borderId="2" xfId="1" applyNumberFormat="1" applyFont="1" applyFill="1" applyBorder="1" applyAlignment="1">
      <alignment vertical="center" wrapText="1"/>
    </xf>
    <xf numFmtId="44" fontId="6" fillId="3" borderId="2" xfId="2" applyFont="1" applyFill="1" applyBorder="1" applyAlignment="1">
      <alignment vertical="center" wrapText="1"/>
    </xf>
    <xf numFmtId="0" fontId="6" fillId="2" borderId="3" xfId="0" applyFont="1" applyFill="1" applyBorder="1" applyAlignment="1">
      <alignment vertical="center" wrapText="1"/>
    </xf>
    <xf numFmtId="164" fontId="5" fillId="0" borderId="16" xfId="3" applyNumberFormat="1" applyFont="1" applyFill="1" applyBorder="1" applyAlignment="1">
      <alignment vertical="center" wrapText="1"/>
    </xf>
    <xf numFmtId="164" fontId="5" fillId="0" borderId="18" xfId="3" applyNumberFormat="1" applyFont="1" applyFill="1" applyBorder="1" applyAlignment="1">
      <alignment vertical="center" wrapText="1"/>
    </xf>
    <xf numFmtId="0" fontId="0" fillId="0" borderId="0" xfId="0" pivotButton="1"/>
    <xf numFmtId="0" fontId="0" fillId="0" borderId="0" xfId="0" applyAlignment="1">
      <alignment horizontal="left"/>
    </xf>
    <xf numFmtId="43" fontId="0" fillId="0" borderId="0" xfId="0" applyNumberFormat="1"/>
    <xf numFmtId="49" fontId="0" fillId="0" borderId="18" xfId="0" applyNumberFormat="1" applyFill="1" applyBorder="1" applyAlignment="1">
      <alignment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164" fontId="5" fillId="0" borderId="16" xfId="3" applyNumberFormat="1" applyFont="1" applyFill="1" applyBorder="1" applyAlignment="1">
      <alignment horizontal="center" vertical="center" wrapText="1"/>
    </xf>
    <xf numFmtId="164" fontId="5" fillId="0" borderId="18" xfId="3"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164" fontId="6" fillId="3" borderId="2" xfId="1" applyNumberFormat="1" applyFont="1" applyFill="1" applyBorder="1" applyAlignment="1">
      <alignment horizontal="center" vertical="center" wrapText="1"/>
    </xf>
    <xf numFmtId="164" fontId="6" fillId="3" borderId="7" xfId="1" applyNumberFormat="1" applyFont="1" applyFill="1" applyBorder="1" applyAlignment="1">
      <alignment horizontal="center" vertical="center" wrapText="1"/>
    </xf>
    <xf numFmtId="44" fontId="6" fillId="3" borderId="2" xfId="2" applyFont="1" applyFill="1" applyBorder="1" applyAlignment="1">
      <alignment horizontal="center" vertical="center" wrapText="1"/>
    </xf>
    <xf numFmtId="44" fontId="6" fillId="3" borderId="7"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5">
    <cellStyle name="Millares" xfId="1" builtinId="3"/>
    <cellStyle name="Millares 2" xfId="3"/>
    <cellStyle name="Moneda" xfId="2" builtinId="4"/>
    <cellStyle name="Moneda 2" xfId="4"/>
    <cellStyle name="Normal" xfId="0" builtinId="0"/>
  </cellStyles>
  <dxfs count="1">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sael Campos Carias" refreshedDate="44165.759031828704" createdVersion="5" refreshedVersion="5" minRefreshableVersion="3" recordCount="187">
  <cacheSource type="worksheet">
    <worksheetSource ref="A1:G188" sheet="Hoja1"/>
  </cacheSource>
  <cacheFields count="7">
    <cacheField name="Descripción " numFmtId="0">
      <sharedItems longText="1"/>
    </cacheField>
    <cacheField name="Institución Ejecutora" numFmtId="0">
      <sharedItems count="4">
        <s v="SESAL"/>
        <s v="COPECO"/>
        <s v="INVEST-H"/>
        <s v="Hospital Escuela Universitario"/>
      </sharedItems>
    </cacheField>
    <cacheField name="Fuente Financiamiento" numFmtId="0">
      <sharedItems/>
    </cacheField>
    <cacheField name="Cantidad_x000a_Comprada" numFmtId="0">
      <sharedItems containsBlank="1" containsMixedTypes="1" containsNumber="1" containsInteger="1" minValue="1" maxValue="5167596"/>
    </cacheField>
    <cacheField name="Precio_x000a_Unitario" numFmtId="0">
      <sharedItems containsBlank="1" containsMixedTypes="1" containsNumber="1" minValue="0.1283" maxValue="196903215"/>
    </cacheField>
    <cacheField name="Monto _x000a_Lempiras" numFmtId="0">
      <sharedItems containsSemiMixedTypes="0" containsString="0" containsNumber="1" minValue="-50836500" maxValue="569657100"/>
    </cacheField>
    <cacheField name="Monto Estimado US$" numFmtId="0">
      <sharedItems containsSemiMixedTypes="0" containsString="0" containsNumber="1" minValue="-2049296.9750000001" maxValue="23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7">
  <r>
    <s v="Mascarillas N95"/>
    <x v="0"/>
    <s v="Tesoro Nacional"/>
    <n v="130000"/>
    <n v="190"/>
    <n v="24700000"/>
    <n v="988000"/>
  </r>
  <r>
    <s v="Batas desechables"/>
    <x v="0"/>
    <s v="Tesoro Nacional"/>
    <n v="93000"/>
    <n v="75"/>
    <n v="6975000"/>
    <n v="279000"/>
  </r>
  <r>
    <s v="Mascarillas desechables"/>
    <x v="0"/>
    <s v="Tesoro Nacional"/>
    <n v="800000"/>
    <n v="7.5"/>
    <n v="6000000"/>
    <n v="240000"/>
  </r>
  <r>
    <s v="Gafas bioseguridad"/>
    <x v="0"/>
    <s v="Tesoro Nacional"/>
    <n v="4000"/>
    <n v="200"/>
    <n v="800000"/>
    <n v="32000"/>
  </r>
  <r>
    <s v="Guante estéril xl"/>
    <x v="0"/>
    <s v="Tesoro Nacional"/>
    <n v="270000"/>
    <n v="8.5500000000000007"/>
    <n v="2308500"/>
    <n v="92340"/>
  </r>
  <r>
    <s v="Guante estéril l"/>
    <x v="0"/>
    <s v="Tesoro Nacional"/>
    <n v="150000"/>
    <n v="8.5500000000000007"/>
    <n v="1282500"/>
    <n v="51300"/>
  </r>
  <r>
    <s v="Guante estéril m"/>
    <x v="0"/>
    <s v="Tesoro Nacional"/>
    <n v="200000"/>
    <n v="8.5500000000000007"/>
    <n v="1710000.0000000002"/>
    <n v="68400.000000000015"/>
  </r>
  <r>
    <s v="Guante estéril s"/>
    <x v="0"/>
    <s v="Tesoro Nacional"/>
    <n v="50000"/>
    <n v="8.5500000000000007"/>
    <n v="427500.00000000006"/>
    <n v="17100.000000000004"/>
  </r>
  <r>
    <s v="Guante descartable xl"/>
    <x v="0"/>
    <s v="Tesoro Nacional"/>
    <n v="120000"/>
    <n v="2.95"/>
    <n v="354000"/>
    <n v="14160"/>
  </r>
  <r>
    <s v="Guante descartable l"/>
    <x v="0"/>
    <s v="Tesoro Nacional"/>
    <n v="900000"/>
    <n v="2.95"/>
    <n v="2655000"/>
    <n v="106200"/>
  </r>
  <r>
    <s v="Guante descartable m"/>
    <x v="0"/>
    <s v="Tesoro Nacional"/>
    <n v="900000"/>
    <n v="2.95"/>
    <n v="2655000"/>
    <n v="106200"/>
  </r>
  <r>
    <s v="Guante descartable s"/>
    <x v="0"/>
    <s v="Tesoro Nacional"/>
    <n v="174000"/>
    <n v="2.95"/>
    <n v="513300.00000000006"/>
    <n v="20532.000000000004"/>
  </r>
  <r>
    <s v="Equipo de Protección Personal"/>
    <x v="0"/>
    <s v="Fondos nacionales "/>
    <s v="En proceso de actualización en el portal del IAIP"/>
    <m/>
    <n v="399379911.19999999"/>
    <n v="16125030.228886815"/>
  </r>
  <r>
    <s v="Gafas bioseguridad"/>
    <x v="1"/>
    <s v="Tesoro Nacional"/>
    <n v="5000"/>
    <n v="55"/>
    <n v="275000"/>
    <n v="11000"/>
  </r>
  <r>
    <s v="Guante estéril l"/>
    <x v="1"/>
    <s v="Tesoro Nacional"/>
    <n v="35100"/>
    <n v="7"/>
    <n v="245700"/>
    <n v="9828"/>
  </r>
  <r>
    <s v="Guante estéril m"/>
    <x v="1"/>
    <s v="Tesoro Nacional"/>
    <n v="3000"/>
    <n v="7"/>
    <n v="21000"/>
    <n v="840"/>
  </r>
  <r>
    <s v="Guante estéril s"/>
    <x v="1"/>
    <s v="Tesoro Nacional"/>
    <n v="35100"/>
    <n v="7"/>
    <n v="245700"/>
    <n v="9828"/>
  </r>
  <r>
    <s v="Equipo de Protección Personal"/>
    <x v="1"/>
    <s v="Fondos Externos"/>
    <s v="En proceso de actualización en el portal del IAIP"/>
    <m/>
    <n v="24710800"/>
    <n v="1000000"/>
  </r>
  <r>
    <s v="Insumos Biomédicos (mascarillas) (DEVOLUCION DE ANTICIPO)"/>
    <x v="2"/>
    <s v="Fondos nacionales "/>
    <n v="474000"/>
    <n v="107.25"/>
    <n v="-50836500"/>
    <n v="-2049296.9750000001"/>
  </r>
  <r>
    <s v="Insumos Biomédicos (mascarillas)"/>
    <x v="2"/>
    <s v="Fondos nacionales "/>
    <n v="474000"/>
    <n v="107.25"/>
    <n v="50836500"/>
    <n v="2049296.9749999999"/>
  </r>
  <r>
    <s v="Insumos Biomédicos (mascarillas)"/>
    <x v="2"/>
    <s v="Fondos nacionales "/>
    <n v="1331280"/>
    <n v="8.6902899990000009"/>
    <n v="11569209.26986872"/>
    <n v="465948"/>
  </r>
  <r>
    <s v="Insumos Biomédicos (mascarillas, guantes y termometros)"/>
    <x v="2"/>
    <s v="Fondos nacionales "/>
    <m/>
    <m/>
    <n v="27886487.859999999"/>
    <n v="1115459.5144"/>
  </r>
  <r>
    <s v="Insumos Biomédicos (batas mascarillas, guantes y protector facial)"/>
    <x v="2"/>
    <s v="Fondos nacionales "/>
    <m/>
    <m/>
    <n v="13418456.24"/>
    <n v="536738.24959999998"/>
  </r>
  <r>
    <s v="Insumos Biomédicos (mascarillas, oximetros y protector facial)"/>
    <x v="2"/>
    <s v="Fondos nacionales "/>
    <m/>
    <m/>
    <n v="19229106.82"/>
    <n v="774380.5"/>
  </r>
  <r>
    <s v="Insumos Biomédicos (mascarillas)"/>
    <x v="2"/>
    <s v="Fondos nacionales "/>
    <n v="5167596"/>
    <n v="8.6910599996594193"/>
    <n v="44911886.890000015"/>
    <n v="1808659"/>
  </r>
  <r>
    <s v="Insumos Biomédicos (mascarillas)"/>
    <x v="2"/>
    <s v="Fondos nacionales "/>
    <n v="1401988"/>
    <n v="8.6922849981597565"/>
    <n v="12186479.26"/>
    <n v="490695.8"/>
  </r>
  <r>
    <s v="Insumos Biomédicos (mascarillas y protector facial)"/>
    <x v="2"/>
    <s v="Fondos nacionales "/>
    <s v="Ver detalle en IAIP"/>
    <s v="Ver detalle en IAIP"/>
    <n v="7659429.2199999997"/>
    <n v="306377.16879999998"/>
  </r>
  <r>
    <s v="Insumos Biomédicos (anteojos descartables)"/>
    <x v="2"/>
    <s v="Fondos nacionales "/>
    <n v="9190"/>
    <n v="198.82570837867246"/>
    <n v="1827208.26"/>
    <n v="73611.899999999994"/>
  </r>
  <r>
    <s v="Insumos Biomédicos (anteojos descartables y protector facial)"/>
    <x v="2"/>
    <s v="Fondos nacionales "/>
    <m/>
    <m/>
    <n v="1282497.2"/>
    <n v="51792.56"/>
  </r>
  <r>
    <s v="Insumos Biomédicos (mascarillas)*"/>
    <x v="2"/>
    <s v="Fondos nacionales "/>
    <n v="469000"/>
    <n v="84"/>
    <n v="39396000"/>
    <n v="1575840"/>
  </r>
  <r>
    <s v="GASTOS DE VIAJE  DEL 15 AL 16 DE MAYO DE 2020 EN  RECEPCION Y ENTREGA DE MASCARILLAS PARA EL PROGRAMA &quot;TODOS CON MASCARILLAS&quot; ADQUIRIDAS A LA ASOCIACION HONDUREÑA DE MAQUILADORES EN EL MARCO DE LA EMERGENCIA COVID-19."/>
    <x v="2"/>
    <s v="Fondos nacionales "/>
    <n v="1"/>
    <n v="4510.79"/>
    <n v="4510.79"/>
    <n v="180.4316"/>
  </r>
  <r>
    <s v="GASTOS DE VIAJE DEL 15 AL 16 DE MAYO DE 2020 EN  RECEPCION Y ENTREGA DE MASCARILLAS PARA EL PROGRAMA &quot;TODOS CON MASCARILLAS&quot; ADQUIRIDAS A LA ASOCIACION HONDUREÑA DE MAQUILADORES EN EL MARCO DE LA EMERGENCIA COVID-19."/>
    <x v="2"/>
    <s v="Fondos nacionales "/>
    <n v="1"/>
    <n v="4510.79"/>
    <n v="4510.79"/>
    <n v="180.4316"/>
  </r>
  <r>
    <s v="GASTOS DE VIAJE A SAN PEDRO SULA DEL 22 AL 23 DE MAYO DE 2020. EN RECEPCION Y ENTREGA DE MASCARILLAS PARA EL PROGRAMA &quot;TODOS CON MASCARILLAS&quot; ADQUIRIDAS A LA ASOCIACION HONDUREÑA DE MAQUILADORES; RECEPCION Y ENTREGA DE VENTILADORES ADQUIRIDOS A SIMEDIC, EN EL MARCO DE LA EMERGENCIA COVID-19."/>
    <x v="2"/>
    <s v="Fondos nacionales "/>
    <n v="1"/>
    <n v="4511.7700000000004"/>
    <n v="4511.7700000000004"/>
    <n v="180.47080000000003"/>
  </r>
  <r>
    <s v="GASTOS DE VIAJE A SAN PEDRO SULA DEL 22 AL 23 DE MAYO DE 2020. EN RECEPCION Y ENTREGA DE MASCARILLAS PARA EL PROGRAMA &quot;TODOS CON MASCARILLAS&quot; ADQUIRIDAS A LA ASOCIACION HONDUREÑA DE MAQUILADORES; RECEPCION Y ENTREGA DE VENTILADORES ADQUIRIDOS A SIMEDIC, EN EL MARCO DE LA EMERGENCIA COVID-19."/>
    <x v="2"/>
    <s v="Fondos nacionales "/>
    <n v="1"/>
    <n v="4511.7700000000004"/>
    <n v="4511.7700000000004"/>
    <n v="180.47080000000003"/>
  </r>
  <r>
    <s v="Paquete de Laparatomia,  conjunto de piezas de lenceria médica descartable para ser usada en las intervenciones quirúrgicas, 323 unidades adquiridas  a un monto de 710 Lempiras C/U mas ISV Lps. 34,399.50"/>
    <x v="3"/>
    <s v="Fondos Externos"/>
    <n v="323"/>
    <n v="710"/>
    <n v="263729.5"/>
    <n v="10619.22"/>
  </r>
  <r>
    <s v="Flujometro para Oxigeno con conexión tipo OHMEDA, dosificador de oxígeno medicinal instrumentos para la medición de velocidad, adquisicion de 14 Unidades a un monto de 2,450 Lempiras C/U mas ISV Lps. 5,145.00"/>
    <x v="3"/>
    <s v="Fondos Externos"/>
    <n v="14"/>
    <n v="2450"/>
    <n v="39445"/>
    <n v="1588.28"/>
  </r>
  <r>
    <s v="Sensor de Flujo Adulto/Pediátrico Reusable para Ventilador Mecánico  impuesto L. 1,245.78&quot;"/>
    <x v="3"/>
    <s v="Fondos Externos"/>
    <n v="2"/>
    <n v="4152.6099999999997"/>
    <n v="9551"/>
    <n v="384.58"/>
  </r>
  <r>
    <s v="Batas Descartables: para pacientes repelentes a líquidos manga larga de puño reforzado, presentación en bolsa de 10 unidades, no estériles y que no sean transparentes, empaque individual, talla l y m. Tasa de comisión desaduanaje L. 3,108.00&quot;"/>
    <x v="3"/>
    <s v="Fondos Externos"/>
    <n v="24768"/>
    <n v="37.51"/>
    <n v="932155.68"/>
    <n v="37533.800000000003"/>
  </r>
  <r>
    <s v="Batas Descartables: para pacientes repelentes a líquidos manga larga de puño reforzado, presentación en bolsa de 10 unidades, no estériles y que no sean transparentes, empaque individual, talla l y m.Tasa de comisión desaduanaje L. 1,902.00&quot;"/>
    <x v="3"/>
    <s v="Fondos Externos"/>
    <n v="25344"/>
    <n v="37.51"/>
    <n v="952555.44"/>
    <n v="38355.21"/>
  </r>
  <r>
    <s v="Overoles impermeables con las siguientes especificaciones: cobertura corporal total, resistente a partículas, anti fluidos hisdroestetico, resistente al rasgamiento, reutilizable, esterilizable con amonio cuaternurio&quot;"/>
    <x v="3"/>
    <s v="Fondos Externos"/>
    <n v="3780"/>
    <n v="80"/>
    <n v="302400"/>
    <n v="12202.5"/>
  </r>
  <r>
    <s v="Overoles impermeables con las siguientes especificaciones: cobertura corporal total, resistente a partículas, anti fluidos hisdroestetico, resistente al rasgamiento, reutilizable, esterilizable con amonio cuaternurio&quot;"/>
    <x v="3"/>
    <s v="Fondos Externos"/>
    <n v="500"/>
    <n v="80"/>
    <n v="40000"/>
    <n v="1614.09"/>
  </r>
  <r>
    <s v="Overoles impermeables con las siguientes especificaciones: cobertura corporal total, resistente a partículas, anti fluidos hisdroestetico, resistente al rasgamiento, reutilizable, esterilizable con amonio cuaternurio&quot;"/>
    <x v="3"/>
    <s v="Fondos Externos"/>
    <n v="3280"/>
    <n v="80"/>
    <n v="262400"/>
    <n v="10588.42"/>
  </r>
  <r>
    <s v="Gorros Descartables; Unisex con elásticos circular para uso de adultos y pediátricos tamaño estándar, &quot;"/>
    <x v="3"/>
    <s v="Fondos Externos"/>
    <n v="117391"/>
    <n v="2"/>
    <n v="234782"/>
    <n v="9473.9699999999993"/>
  </r>
  <r>
    <s v="Bactericida de amplio espectro para ropa (uso hospitalario), caja de 6 unds&quot;"/>
    <x v="3"/>
    <s v="Fondos Externos"/>
    <n v="1000"/>
    <n v="90"/>
    <n v="90000"/>
    <n v="3631.7"/>
  </r>
  <r>
    <s v="Mascarillas KN95 (fideicomiso)&quot;"/>
    <x v="3"/>
    <s v="Fondos Externos"/>
    <n v="8000"/>
    <n v="85"/>
    <n v="680000"/>
    <n v="27439.49"/>
  </r>
  <r>
    <s v="Mascarillas Descartables con Protección KN95 (fideicomiso)&quot;"/>
    <x v="3"/>
    <s v="Fondos Externos"/>
    <n v="2000"/>
    <n v="100"/>
    <n v="200000"/>
    <n v="8070.44"/>
  </r>
  <r>
    <s v="Gafas Protectoras (fideicomiso)&quot;"/>
    <x v="3"/>
    <s v="Fondos Externos"/>
    <n v="3000"/>
    <n v="250"/>
    <n v="750000"/>
    <n v="30264.15"/>
  </r>
  <r>
    <s v="COVIT.  Botas Descartables; con material anti derrapante, tamaño estándar, adquisición de 22,000 unidades a un precio 4.50 lps. más ISV. 14,850.00 Proceso elaborado vía catálogo electrónico"/>
    <x v="3"/>
    <s v="Fondos Externos"/>
    <n v="22000"/>
    <n v="4.5"/>
    <n v="113850"/>
    <n v="4584.237631416825"/>
  </r>
  <r>
    <s v="(COVID-19)  Batas Descartables: para pacientes repelentes a liquidos managa larga de puño reforzado, presentacion en bolsa de 10 unidades, no esteriles y que no sean transparentes, empaque individual, talla l y m Adquisicon de 3456 unidades a un precio de lps.50 "/>
    <x v="3"/>
    <s v="Fondos Externos"/>
    <n v="3456"/>
    <n v="50"/>
    <n v="172800"/>
    <n v="6957.8942706089365"/>
  </r>
  <r>
    <s v=" (COVID-19) Batas Descartables: para pacientes repelentes a liquidos managa larga de puño reforzado, presentacion en bolsa de 10 unidades, no esteriles y que no sean transparentes, empaque individual, talla l y m Adquisicon de 5000 unidades a un precio de 95 lps   Proceso elaborado vía catálogo electrónico"/>
    <x v="3"/>
    <s v="Fondos Externos"/>
    <n v="5000"/>
    <n v="95"/>
    <n v="475000"/>
    <n v="19126.156125805814"/>
  </r>
  <r>
    <s v="(COVID-19)  Batas Descartables: para pacientes repelentes a liquidos managa larga de puño reforzado, presentacion en bolsa de 10 unidades, no esteriles y que no sean transparentes, empaque individual, talla l y m Adquisicon de 7060 unidades a un precio de 50 Lps. No pagan ISV. "/>
    <x v="3"/>
    <s v="Fondos Externos"/>
    <n v="7060"/>
    <n v="50"/>
    <n v="353000"/>
    <n v="14213.753920862006"/>
  </r>
  <r>
    <s v="COVID Batas Descartables para pacientes, perosnal medico, de enfermeria, repelentes a liquidos managa larga de puño reforzado, presentacion en bolsa de 10 unidades, no esteriles y que no sean transparentes, empaque individual, talla l y m, 10368 unidades a un precio de L. 50.00 Sin impuesto"/>
    <x v="3"/>
    <s v="Fondos Externos"/>
    <n v="10368"/>
    <n v="50"/>
    <n v="518400"/>
    <n v="20873.682811826809"/>
  </r>
  <r>
    <s v="COVID Overoles Descartables Overoles impermeables con las siguientes especificaciones: cobertura corporal total, resistente a particulas, anti fluidos hisdroestetico, resistente al rasgamiento, reutilizable, esterilizable con amonio cuaternurio, 3,000 unidades a un precio de L. 87.50 sin impuesto."/>
    <x v="3"/>
    <s v="Fondos Externos"/>
    <n v="3000"/>
    <n v="87.5"/>
    <n v="262500"/>
    <n v="10569.71785899795"/>
  </r>
  <r>
    <s v="COVID- Batas Descartables para pacientes personal médico de enfermería repelentes a líquidos manga larga de puño reforzado presentación en bolsa de 10 unidades no estériles y que no sean transparentes empaque individual talla l y m Se Adquirieron 127216 und a un precio de 59.00 Lps no pagan ISV."/>
    <x v="3"/>
    <s v="Fondos Externos"/>
    <n v="127216"/>
    <n v="59"/>
    <n v="7505744"/>
    <n v="302223.22438806365"/>
  </r>
  <r>
    <s v="COVID- Lentes de Protección Patillas de longitud ajustables ajuste del ángulo de la lente con puente nasal suave color de la lente transparente. Se adquirieron 2400 und a un precio de 175.00 Lps no pagan ISV."/>
    <x v="3"/>
    <s v="Fondos Externos"/>
    <n v="2400"/>
    <n v="175"/>
    <n v="420000"/>
    <n v="16911.548574396722"/>
  </r>
  <r>
    <s v="COVID- Gorros Descartables Unisex con elásticos circular para uso de adultos y pediátricos tamaños estándar presentación caja o paquete de 100 und. Se adquirieron 234000 und a un precio de 1.49 Lps. No pagan ISV."/>
    <x v="3"/>
    <s v="Fondos Externos"/>
    <n v="234000"/>
    <n v="1.49"/>
    <n v="348660"/>
    <n v="14039.001252259906"/>
  </r>
  <r>
    <s v="COVID Mascarillas Descartables: Unisex de 3 Pliegues con puente de metal moldeable para nariz y con 4 cintas o sujetadores fuertes de amarre. Se Adquirieron 348000 und a un precio de 4.44 Lps. No pagan ISV."/>
    <x v="3"/>
    <s v="Fondos Externos"/>
    <n v="348000"/>
    <n v="4.4400000000000004"/>
    <n v="1545120.0000000002"/>
    <n v="62215.171269694918"/>
  </r>
  <r>
    <s v="COVID Termómetro Infrarrojo medidor de temperatura sin contacto no invasivo que muestre temperaturas en grados centígrados. Se adquirieron 100 und a un precio de 749.44 Lps. No pagan ISV._x000a_"/>
    <x v="3"/>
    <s v="Fondos Externos"/>
    <n v="100"/>
    <n v="749.44"/>
    <n v="74944"/>
    <n v="3017.6645151418757"/>
  </r>
  <r>
    <s v="Covid- Overoles Descartables con las siguientes especificaciones: cobertura corporal total, resistente a particulas, anti fluidos hisdroestetico, resistente al rasgamiento, reutilizable, esterilizable con amonio cuaternurio. Se adquirieron 3000 Und, a un precio de 87.50Lps. No pagan ISV."/>
    <x v="3"/>
    <s v="Fondos Externos"/>
    <n v="3000"/>
    <n v="87.5"/>
    <n v="262500"/>
    <n v="10569.71785899795"/>
  </r>
  <r>
    <s v="COVIT. Botas Descartables; con material anti derrapante, tamaño estándar, adquisición de 27,000 unidades a un precio 7.50 lps. más ISV. 30,375.00 Proceso elaborado vía catálogo electrónico"/>
    <x v="3"/>
    <s v="Fondos Externos"/>
    <n v="27000"/>
    <n v="7.5"/>
    <n v="232875"/>
    <n v="9376.8497006253237"/>
  </r>
  <r>
    <s v="Acetaminofén 500mg "/>
    <x v="0"/>
    <s v="Tesoro Nacional"/>
    <n v="4480000"/>
    <n v="0.1283"/>
    <n v="574784"/>
    <n v="22991.360000000001"/>
  </r>
  <r>
    <s v="Acetaminofén 120mg/ml "/>
    <x v="0"/>
    <s v="Tesoro Nacional"/>
    <n v="1120000"/>
    <n v="9.3800000000000008"/>
    <n v="10505600"/>
    <n v="420224"/>
  </r>
  <r>
    <s v="Acetaminofén 100mg/ml "/>
    <x v="0"/>
    <s v="Tesoro Nacional"/>
    <n v="212759"/>
    <n v="17"/>
    <n v="3616903"/>
    <n v="144676.12"/>
  </r>
  <r>
    <s v="Loratadina 10mg "/>
    <x v="0"/>
    <s v="Tesoro Nacional"/>
    <n v="560000"/>
    <n v="0.14000000000000001"/>
    <n v="78400.000000000015"/>
    <n v="3136.0000000000005"/>
  </r>
  <r>
    <s v=" Loratadina 1mg/ml "/>
    <x v="0"/>
    <s v="Tesoro Nacional"/>
    <n v="398468"/>
    <n v="9.23"/>
    <n v="3677859.64"/>
    <n v="147114.38560000001"/>
  </r>
  <r>
    <s v="Salbutamol 5mg/ml"/>
    <x v="0"/>
    <s v="Tesoro Nacional"/>
    <n v="19890"/>
    <n v="24.052600000000002"/>
    <n v="478406.21400000004"/>
    <n v="19136.24856"/>
  </r>
  <r>
    <s v="Ipratropio 250mcg/ml "/>
    <x v="0"/>
    <s v="Tesoro Nacional"/>
    <n v="76826"/>
    <n v="55.870800000000003"/>
    <n v="4292330.0808000006"/>
    <n v="171693.20323200003"/>
  </r>
  <r>
    <s v="Sales de Rehidratación Oral - Sobres "/>
    <x v="0"/>
    <s v="Tesoro Nacional"/>
    <n v="1120000"/>
    <n v="2.3109000000000002"/>
    <n v="2588208"/>
    <n v="103528.32000000001"/>
  </r>
  <r>
    <s v="Lactato de sodio + Electrolitos Mixtos (Solución Hartman) 1000 mL"/>
    <x v="0"/>
    <s v="Tesoro Nacional"/>
    <n v="495856"/>
    <n v="20.547799999999999"/>
    <n v="10188749.9168"/>
    <n v="407549.99667199998"/>
  </r>
  <r>
    <s v="Cloruro de Sodio 0.9% 1000ml "/>
    <x v="0"/>
    <s v="Tesoro Nacional"/>
    <n v="398291"/>
    <n v="17.540900000000001"/>
    <n v="6986382.6019000001"/>
    <n v="279455.304076"/>
  </r>
  <r>
    <s v="Ceftriaxona 1gr "/>
    <x v="0"/>
    <s v="Tesoro Nacional"/>
    <n v="91000"/>
    <n v="5.1454000000000004"/>
    <n v="468231.4"/>
    <n v="18729.256000000001"/>
  </r>
  <r>
    <s v="Ciprofloxacina 500mg "/>
    <x v="0"/>
    <s v="Tesoro Nacional"/>
    <n v="91000"/>
    <n v="0.98939999999999995"/>
    <n v="90035.4"/>
    <n v="3601.4159999999997"/>
  </r>
  <r>
    <s v="Azitromicina 500mg "/>
    <x v="0"/>
    <s v="Tesoro Nacional"/>
    <n v="32500"/>
    <n v="2.7612000000000001"/>
    <n v="89739"/>
    <n v="3589.56"/>
  </r>
  <r>
    <s v="Azitromicina 200mg/5ml "/>
    <x v="0"/>
    <s v="Tesoro Nacional"/>
    <n v="6500"/>
    <n v="23.145"/>
    <n v="150442.5"/>
    <n v="6017.7"/>
  </r>
  <r>
    <s v="Azitromicina 500mg "/>
    <x v="0"/>
    <s v="Tesoro Nacional"/>
    <n v="3768"/>
    <n v="526.25"/>
    <n v="1982910"/>
    <n v="79316.399999999994"/>
  </r>
  <r>
    <s v="Oxacilina 1gr "/>
    <x v="0"/>
    <s v="Tesoro Nacional"/>
    <n v="130000"/>
    <n v="6.6817000000000002"/>
    <n v="868621"/>
    <n v="34744.839999999997"/>
  </r>
  <r>
    <s v="Dicloxacilina 500mg "/>
    <x v="0"/>
    <s v="Tesoro Nacional"/>
    <n v="182000"/>
    <n v="1.1829000000000001"/>
    <n v="215287.80000000002"/>
    <n v="8611.5120000000006"/>
  </r>
  <r>
    <s v="Dicloxacilina 125mg/5ml "/>
    <x v="0"/>
    <s v="Tesoro Nacional"/>
    <n v="13000"/>
    <n v="26.780200000000001"/>
    <n v="348142.60000000003"/>
    <n v="13925.704000000002"/>
  </r>
  <r>
    <s v="Imipenem + Cilastatina [500mg + 500mg] "/>
    <x v="0"/>
    <s v="Tesoro Nacional"/>
    <n v="69890"/>
    <n v="68.957899999999995"/>
    <n v="4819467.6310000001"/>
    <n v="192778.70524000001"/>
  </r>
  <r>
    <s v="Piperacilina + Tazobactam [4gr + 500mg]"/>
    <x v="0"/>
    <s v="Tesoro Nacional"/>
    <n v="97555"/>
    <n v="49.6"/>
    <n v="4838728"/>
    <n v="193549.12"/>
  </r>
  <r>
    <s v="Vancomicina 500mg "/>
    <x v="0"/>
    <s v="Tesoro Nacional"/>
    <n v="76769"/>
    <n v="31.43"/>
    <n v="2412849.67"/>
    <n v="96513.986799999999"/>
  </r>
  <r>
    <s v="Dopamina 40mg/ml "/>
    <x v="0"/>
    <s v="Tesoro Nacional"/>
    <n v="34458"/>
    <n v="15.818099999999999"/>
    <n v="545060.08979999996"/>
    <n v="21802.403591999999"/>
  </r>
  <r>
    <s v="Norepinefrina 1mg/ml "/>
    <x v="0"/>
    <s v="Tesoro Nacional"/>
    <n v="25367"/>
    <n v="17.053899999999999"/>
    <n v="432606.28129999997"/>
    <n v="17304.251251999998"/>
  </r>
  <r>
    <s v="Dobutamina 12.5mg/ml "/>
    <x v="0"/>
    <s v="Tesoro Nacional"/>
    <n v="14021"/>
    <n v="30.815300000000001"/>
    <n v="432061.32130000001"/>
    <n v="17282.452852000002"/>
  </r>
  <r>
    <s v="Midazolam 1mg/ml"/>
    <x v="0"/>
    <s v="Tesoro Nacional"/>
    <n v="33467"/>
    <n v="21.215900000000001"/>
    <n v="710032.5253000001"/>
    <n v="28401.301012000004"/>
  </r>
  <r>
    <s v="Midazolam 5mg/ml"/>
    <x v="0"/>
    <s v="Tesoro Nacional"/>
    <n v="11414"/>
    <n v="41"/>
    <n v="467974"/>
    <n v="18718.96"/>
  </r>
  <r>
    <s v="Microdasyn, Solución Antiséptica, Bidón de 5 lts"/>
    <x v="2"/>
    <s v="Tesoro Nacional"/>
    <n v="7000"/>
    <n v="876.75"/>
    <n v="6137250"/>
    <n v="245490"/>
  </r>
  <r>
    <s v="PASTILLAS HIDROXICLOROQUINA (50% F.01 #426-01-01)"/>
    <x v="2"/>
    <s v="Tesoro Nacional"/>
    <n v="1500800"/>
    <n v="9.1338703999999993"/>
    <n v="13708112.696319999"/>
    <n v="548324.50785279996"/>
  </r>
  <r>
    <s v="TABLETAS DE INVERMECTINA 6MG"/>
    <x v="2"/>
    <s v="Tesoro Nacional"/>
    <n v="18000"/>
    <n v="27.1"/>
    <n v="487800"/>
    <n v="19512"/>
  </r>
  <r>
    <s v="PAGO POR COSTO DE TRANSPORTE AEREO DEL PRIMER CARGAMENTO DE 1,647KG DE HIDROXYCLOROQUINE SULFATE TABLETS, SHANGAI-CHINA-S.P.S. "/>
    <x v="2"/>
    <s v="Tesoro Nacional"/>
    <n v="1"/>
    <n v="1088579.8500000001"/>
    <n v="1088579.8500000001"/>
    <n v="43838.49"/>
  </r>
  <r>
    <s v="Pago por costo de transporte aéreo del primer cargamento de Kits ExiPrep TM 96 Lite, ExiPrep TM 48 Dx."/>
    <x v="2"/>
    <s v="Tesoro Nacional"/>
    <n v="1"/>
    <n v="1246099.3512000002"/>
    <n v="1246099.3512000002"/>
    <n v="50150"/>
  </r>
  <r>
    <s v="TABLETAS DE INVERMECTINA 6MG"/>
    <x v="2"/>
    <s v="Tesoro Nacional"/>
    <n v="150000"/>
    <n v="11.2"/>
    <n v="1680000"/>
    <n v="67200"/>
  </r>
  <r>
    <s v="Pago por costo de transporte aéreo del segundo cargamento de Kits ExiPrep TM 96 Lite, ExiPrep TM 48 Dx."/>
    <x v="2"/>
    <s v="Tesoro Nacional"/>
    <m/>
    <m/>
    <n v="380821.92"/>
    <n v="15335"/>
  </r>
  <r>
    <s v="TABLETAS DE INVERMECTINA 6MG"/>
    <x v="2"/>
    <s v="Tesoro Nacional"/>
    <n v="82000"/>
    <n v="11.2"/>
    <n v="918400"/>
    <n v="36736"/>
  </r>
  <r>
    <s v="COVID. Tocilizumab 20mg/ml (EQ 200MG/10ML) caja con un vial de vidrio incoloro nombre comercial Acetmra 20mg/10ml. Se Adquirieron 400 vial a un precio de 6695.00 Lps. No pagan ISV."/>
    <x v="3"/>
    <s v="Fondos Externos"/>
    <n v="400"/>
    <n v="6695"/>
    <n v="2678000"/>
    <n v="107831.25495770099"/>
  </r>
  <r>
    <s v="COVID- Deward Oxigeno Liquido 6600 PC se adquirieron 251 cilindros a un precio unitario de Lps. 3,828 , no paga ISV  (Consumo de Julio)"/>
    <x v="3"/>
    <s v="Fondos Externos"/>
    <n v="251"/>
    <n v="3828"/>
    <n v="960828"/>
    <n v="39331.77233429395"/>
  </r>
  <r>
    <s v="COVID- Oxigeno Gas 300 PC se adquirieron 1653 cilindros a un precio de Lps.207.00  no paga isv(Consumo de Julio)"/>
    <x v="3"/>
    <s v="Fondos Externos"/>
    <n v="1653"/>
    <n v="207"/>
    <n v="342171"/>
    <n v="14006.868941577155"/>
  </r>
  <r>
    <s v="COVID- Oxigeno Liquido en MTS3 al 99.5% de Pureza Mínima se adquirieron 52506 MTS3 a un precio de Lps.20.51 No pagan ISV.  (Consumo de Julio)"/>
    <x v="3"/>
    <s v="Fondos Externos"/>
    <n v="52506"/>
    <n v="20.51"/>
    <n v="1076898.06"/>
    <n v="44083.133842022537"/>
  </r>
  <r>
    <s v="COVID- Oxido Nitroso de 220  PC se adquirieron 2 cilindros a un  precio Lps. 5,000.00  mas ISV por un monto de Lps.750.00 (Consumo de Julio) ISV incluido"/>
    <x v="3"/>
    <s v="Fondos Externos"/>
    <n v="2"/>
    <n v="5750"/>
    <n v="11500"/>
    <n v="470.755829185224"/>
  </r>
  <r>
    <s v="COVID- Oxigeno Gas 300 PC se adquirieron 229 cilindros a un precio de Lps.207.00 NO pagan ISV.  (Consumo de Agosto)"/>
    <x v="3"/>
    <s v="Fondos Externos"/>
    <n v="229"/>
    <n v="207"/>
    <n v="47403"/>
    <n v="1940.4555279014935"/>
  </r>
  <r>
    <s v="COVID- Oxigeno Liquido en MTS3 al 99.5% de Pureza Minima  se adquirieron 53943 MTS3 a un precio de Lps.20.51 , NO pagan ISV. (Consumo de Agosto)"/>
    <x v="3"/>
    <s v="Fondos Externos"/>
    <n v="53943"/>
    <n v="20.51"/>
    <n v="1106370.9300000002"/>
    <n v="45289.614307702395"/>
  </r>
  <r>
    <s v="COVID- Oxigeno Gas 300 PC se adquirieron 81 cilindros a un precio de Lps.207.00   NO pagan ISV.(Consumo de Septiembre)"/>
    <x v="3"/>
    <s v="Fondos Externos"/>
    <n v="81"/>
    <n v="207"/>
    <n v="16767"/>
    <n v="686.36199895205664"/>
  </r>
  <r>
    <s v="COVID- Oxigeno Liquido en MTS3 al 99.5% de Pureza Mínima se adquirieron 43784 MTS3 a un precio de Lps.20.51   No pagan ISV.  (Consumo de Septiembre)"/>
    <x v="3"/>
    <s v="Fondos Externos"/>
    <n v="43784"/>
    <n v="20.51"/>
    <n v="898009.84000000008"/>
    <n v="36760.29276919047"/>
  </r>
  <r>
    <s v="COVID- Nitrogeno Liquido a Granel, se adquirieron 20 litros a un precio de Lps.120.00  mas ISV Lps.18.00  "/>
    <x v="3"/>
    <s v="Fondos Externos"/>
    <n v="20"/>
    <n v="138"/>
    <n v="2760"/>
    <n v="112.98139900445376"/>
  </r>
  <r>
    <s v="COVID- Oxido Nitroso de 220  PC se adquirireron un (1) cilindro a un precio 5,000.00 lps mas  ISV de 750.00 lps (Consumo de Septiembre)  "/>
    <x v="3"/>
    <s v="Fondos Externos"/>
    <n v="1"/>
    <n v="5750"/>
    <n v="5750"/>
    <n v="235.377914592612"/>
  </r>
  <r>
    <s v="COVID- COVID-Fentanilo  Base 0.05MG/ML/10ML (Como Citrato) Solucion  Inyectable  IM. IV.  Se adquirieron 1580 Viales  aun precio de Lps.50.00 NO pagan ISV."/>
    <x v="3"/>
    <s v="Fondos Externos"/>
    <n v="1580"/>
    <n v="50"/>
    <n v="79000"/>
    <n v="3233.8878700550172"/>
  </r>
  <r>
    <s v="Covid- Regularización del gasto por concepto de adquisición de, Manómetro para tanque de oxígeno,  mide la presión en un medio con alto porcentaje en oxígeno, se adquirieron 194 unidades a un precio unitario L. 1,660.00 monto total L. 322,040.00. Octubre 2020 Hospital Escuela NO PAGAN ISV. "/>
    <x v="3"/>
    <s v="Fondos Externos"/>
    <n v="194"/>
    <n v="1660"/>
    <n v="322040"/>
    <n v="13182.800628766046"/>
  </r>
  <r>
    <s v="Covid- Regularización del gasto por concepto de adquisición de, Flujometros de 15 Litros de Pared Tipo DISS, Proporciona una medición y un control del flujo de gas de alta precisión dentro de un rango, se adquirieron 120 unidades a un precio unitario L. 1,320.00 monto total L. 158,400.00. Octubre 2020 Hospital Escuela NO PAGAN ISV. "/>
    <x v="3"/>
    <s v="Fondos Externos"/>
    <n v="120"/>
    <n v="1320"/>
    <n v="158400"/>
    <n v="6484.1498559077809"/>
  </r>
  <r>
    <s v="Covid- Regularización del gasto por concepto de adquisición de,  Fluxómetros de 15 Litros de Pared Tipo OHMEDA, Toma para gases médicos de conexión de enchufe rápido  para instalación en consolación en pared, se adquirieron 148 unidades a un precio unitario L. 1,320.00 monto total L. 195,360.00. Octubre 2020 Hospital Escuela NO PAGAN ISV. "/>
    <x v="3"/>
    <s v="Fondos Externos"/>
    <n v="148"/>
    <n v="1320"/>
    <n v="195360"/>
    <n v="7997.118155619597"/>
  </r>
  <r>
    <s v="Covid, Regularización del gasto por concepto de adquisición de, Bombas de Infusión de 1 canal para inyectar fluidos medicación o nutrientes en el sistema circulatorio del paciente generalmente su uso es intravenoso.  Se adquirieron 125 unidades a un precio unitario L. 14, 840.00 monto total L. 1, 855,000.00. Octubre 2020 Hospital Escuela NO PAGAN ISV. "/>
    <x v="3"/>
    <s v="Fondos Externos"/>
    <n v="125"/>
    <n v="14840"/>
    <n v="1855000"/>
    <n v="75934.962012051357"/>
  </r>
  <r>
    <s v="Covid, Regularización del gasto por concepto de adquisición de, Monitor de Signos Vitales 6 Parámetros Adulto, Se adquirieron 50 unidades a un precio unitario L. 55, 385.00 monto total L. 2, 769,250.00. Octubre 2020 Hospital Escuela NO PAGAN ISV. "/>
    <x v="3"/>
    <s v="Fondos Externos"/>
    <n v="50"/>
    <n v="55385"/>
    <n v="2769250"/>
    <n v="113360.05043227666"/>
  </r>
  <r>
    <s v="COVID- Regularización del gasto por concepto de adquisición de medicamentos 42-2020-HE-CMME - Meropenem 500MG Solución Inyectable IV, se adquirieron 10000 Unds.  A un precio de 99.50 cada Frascos, NO pagan ISV."/>
    <x v="3"/>
    <s v="Fondos Externos"/>
    <n v="10000"/>
    <n v="99.5"/>
    <n v="995000"/>
    <n v="40064.26388458271"/>
  </r>
  <r>
    <s v="COVID-  Regularización del gasto por concepto de pago de Oxigeno de Gas  Cilindro 300 PC se  adquirieron 164 cilindros a un precio de unitario de 207.00 Lps, no paga ISV  (Consumo de Octubre)"/>
    <x v="3"/>
    <s v="Fondos Externos"/>
    <n v="164"/>
    <n v="207"/>
    <n v="33948"/>
    <n v="1366.9363119133807"/>
  </r>
  <r>
    <s v="COVID- Regularización del gasto por concepto de pago de Oxigeno Liquido en MTS3 al 99.5% de Pureza Mínima, se adquirieron 50694 MTS3 a un precio de 20.51 Lps. No pagan ISV.  (Consumo de Octubre)"/>
    <x v="3"/>
    <s v="Fondos Externos"/>
    <n v="50694"/>
    <n v="20.51"/>
    <n v="1039733.9400000001"/>
    <n v="41865.502454187823"/>
  </r>
  <r>
    <s v="COVID- Regularización del gasto por concepto de pago de Óxido Nitroso de 220  PC se adquirió 2 cilindros a un  precio 550.00 lps más 82.50 lps. De  ISV. (Consumo de Octubre) "/>
    <x v="3"/>
    <s v="Fondos Externos"/>
    <n v="2"/>
    <n v="632.5"/>
    <n v="1265"/>
    <n v="50.93597368240917"/>
  </r>
  <r>
    <s v="COVID Regularización del gasto por concepto de  Pago De Cuota Mensual De Contrato De Servicio De Mantenimiento Preventivo Y Correctivo Con Suministro De Repuestos Para Equipo De Radiología Según Contrato 26-HE-2020 Incluye ISV de 164,805.22 lps  monto total a pagar L. 1,098,701.48 "/>
    <x v="3"/>
    <s v="Fondos Externos"/>
    <n v="1"/>
    <n v="1098701.48"/>
    <n v="1098701.48"/>
    <n v="44239.86535186087"/>
  </r>
  <r>
    <s v="COVID Regularización del gasto por concepto de  repuestos Tubo de Rx para CT (BS)  Tomagrofo de 16 cortes De Contrato De Servicio De Mantenimiento Preventivo Y Correctivo Con Suministro De Repuestos Para Equipo De Radiología Según Contrato 26-HE-2020 Incluye ISV de 125,053.05 lps  monto total a pagar L. 958,740.05 "/>
    <x v="3"/>
    <s v="Fondos Externos"/>
    <n v="1"/>
    <n v="958740.05"/>
    <n v="958740.05"/>
    <n v="38604.235537606051"/>
  </r>
  <r>
    <s v="COVID Regularización del gasto por concepto de  repuestos Tubo de Rx para CT (BS)  Sala de Tomografía 2 Rx De Contrato De Servicio De Mantenimiento Preventivo Y Correctivo Con Suministro De Repuestos Para Equipo De Radiología Según Contrato 26-HE-2020 Incluye ISV de 129,668.20 lps  monto total a pagar L. 994,122.87 "/>
    <x v="3"/>
    <s v="Fondos Externos"/>
    <n v="1"/>
    <n v="994122.87050000008"/>
    <n v="994122.87050000008"/>
    <n v="40028.945746141551"/>
  </r>
  <r>
    <s v="Flete y Sefuro PASTILLAS HIDROXICLOROQUINA (50% F.01 #426-01-01)"/>
    <x v="2"/>
    <s v="Tesoro Nacional"/>
    <n v="1"/>
    <m/>
    <n v="7525356.1100000003"/>
    <n v="301014.24440000003"/>
  </r>
  <r>
    <s v="Presentación en 4 Onzas"/>
    <x v="1"/>
    <s v="Fondos nacionales "/>
    <n v="1000000"/>
    <n v="24"/>
    <n v="24000000"/>
    <n v="960000"/>
  </r>
  <r>
    <s v="Presentación 1 Galón"/>
    <x v="1"/>
    <s v="Fondos nacionales "/>
    <n v="71428"/>
    <n v="340"/>
    <n v="24285520"/>
    <n v="971420.8"/>
  </r>
  <r>
    <s v="Equipo"/>
    <x v="0"/>
    <s v="Fondos nacionales "/>
    <n v="3"/>
    <n v="3386970"/>
    <n v="10160910"/>
    <n v="406436.4"/>
  </r>
  <r>
    <s v="EPP"/>
    <x v="0"/>
    <s v="Fondos nacionales "/>
    <n v="3"/>
    <n v="615000"/>
    <n v="1845000"/>
    <n v="73800"/>
  </r>
  <r>
    <s v="Insumos"/>
    <x v="0"/>
    <s v="Fondos nacionales "/>
    <n v="3"/>
    <n v="300000"/>
    <n v="900000"/>
    <n v="36000"/>
  </r>
  <r>
    <s v="Medicamentos"/>
    <x v="0"/>
    <s v="Fondos nacionales "/>
    <n v="3"/>
    <n v="1000000"/>
    <n v="3000000"/>
    <n v="120000"/>
  </r>
  <r>
    <s v="Bateria Desmontables"/>
    <x v="1"/>
    <s v="Fondos nacionales "/>
    <n v="180"/>
    <n v="7475"/>
    <n v="1345500"/>
    <n v="53820"/>
  </r>
  <r>
    <s v="Supcionadores"/>
    <x v="1"/>
    <s v="Fondos nacionales "/>
    <n v="180"/>
    <n v="97500"/>
    <n v="17550000"/>
    <n v="702000"/>
  </r>
  <r>
    <s v="Respirador- Breas Vivo 65"/>
    <x v="1"/>
    <s v="Fondos nacionales "/>
    <n v="40"/>
    <n v="387500"/>
    <n v="15500000"/>
    <n v="620000"/>
  </r>
  <r>
    <s v="Respirador- Trilogy Evo"/>
    <x v="1"/>
    <s v="Fondos nacionales "/>
    <n v="90"/>
    <n v="356250"/>
    <n v="32062500"/>
    <n v="1282500"/>
  </r>
  <r>
    <s v="Ventilador mecánico para adulto"/>
    <x v="2"/>
    <s v="Fondos nacionales "/>
    <n v="450"/>
    <n v="760626.57"/>
    <n v="342281956.5"/>
    <n v="13834525.875"/>
  </r>
  <r>
    <s v="Pruebas COVID-19 (Bioneer Corea)"/>
    <x v="2"/>
    <s v="Fondos nacionales "/>
    <n v="250000"/>
    <n v="185.975424"/>
    <n v="46493855.979999997"/>
    <n v="1875032"/>
  </r>
  <r>
    <s v="Flete mas Seguro Pruebas COVID-19 (Bioneer Corea)"/>
    <x v="2"/>
    <s v="Fondos nacionales "/>
    <n v="1"/>
    <n v="1428425.16"/>
    <n v="1428425.16"/>
    <n v="57582"/>
  </r>
  <r>
    <s v="Ventilador mecánico para adulto"/>
    <x v="2"/>
    <s v="Fondos nacionales "/>
    <n v="200"/>
    <n v="822345.42"/>
    <n v="164469084"/>
    <n v="6630000"/>
  </r>
  <r>
    <s v="Ventilador mecánico para adulto"/>
    <x v="2"/>
    <s v="Fondos nacionales "/>
    <n v="90"/>
    <n v="741425.64"/>
    <n v="66728307.600000001"/>
    <n v="2689919.9999999995"/>
  </r>
  <r>
    <s v=" ExiPrep TM 48  para  pruebas COVID  "/>
    <x v="2"/>
    <s v="Fondos nacionales "/>
    <n v="1728"/>
    <n v="13105.41963"/>
    <n v="22646165.120640002"/>
    <n v="905846.60482560005"/>
  </r>
  <r>
    <s v="ExiPrep  ExiPrep TM96 para  pruebas COVID "/>
    <x v="2"/>
    <s v="Fondos nacionales "/>
    <n v="350"/>
    <n v="52419.839999999997"/>
    <n v="18346944"/>
    <n v="733877.76000000001"/>
  </r>
  <r>
    <s v="1 ExiiPrep 96 Lite, Precio Unitario, *A-5150"/>
    <x v="2"/>
    <s v="Fondos nacionales "/>
    <n v="1"/>
    <n v="1042440"/>
    <n v="1042440"/>
    <n v="41697.599999999999"/>
  </r>
  <r>
    <s v="4 ExiiPrep 48 Dx "/>
    <x v="2"/>
    <s v="Fondos nacionales "/>
    <n v="4"/>
    <n v="1340280"/>
    <n v="5361120"/>
    <n v="214444.79999999999"/>
  </r>
  <r>
    <s v="SERVICIO DE DESADUANAJE DE DOS GUIAS AEREAS DHL # 7824690031 Y 7172053394, CORRESPONDIENTES A LA PRIMERA ENTREGA DE 100,000 PRUEBAS"/>
    <x v="2"/>
    <s v="Fondos nacionales "/>
    <n v="1"/>
    <n v="14568"/>
    <n v="14568"/>
    <n v="582.72"/>
  </r>
  <r>
    <s v="COMPLEMENTO SERVICIO DE DESADUANAJE DE DOS GUIAS AEREAS DHL # 7824690031 Y 7172053394, CORRESPONDIENTES A LA PRIMERA ENTREGA DE 100,000 PRUEBAS"/>
    <x v="2"/>
    <s v="Fondos nacionales "/>
    <n v="1"/>
    <n v="4284"/>
    <n v="4284"/>
    <n v="171.36"/>
  </r>
  <r>
    <s v="SERVICIO DE DESADUANAJE DE DOS GUIAS AEREAS DHL AWB # 4465114452 Y 4465120660, CORRESPONDIENTES A LA SEGUNDA ENTREGA DE 100,000 PRUEBAS"/>
    <x v="2"/>
    <s v="Fondos nacionales "/>
    <n v="1"/>
    <n v="12424.06"/>
    <n v="12424.06"/>
    <n v="496.9624"/>
  </r>
  <r>
    <s v="SERVICIO DE DESADUANAJE DE UNA GUIA AEREAS DHL AWB # 1618773166, CORRESPONDIENTES A LA TERCEERA Y ULTIMA ENTREGA DE 50,000 PRUEBAS"/>
    <x v="2"/>
    <s v="Fondos nacionales "/>
    <n v="1"/>
    <n v="8812.0300000000007"/>
    <n v="8812.0300000000007"/>
    <n v="352.4812"/>
  </r>
  <r>
    <s v="PAGO POR FLETE DE MEXICO A HONDURAS DEL MICRODACYN SOLUCION ANTISEPTICA, DE 7,000, BIDONES DE 5 LITROS"/>
    <x v="2"/>
    <s v="Fondos nacionales "/>
    <n v="1"/>
    <n v="2219844.12"/>
    <n v="2219844.12"/>
    <n v="88793.764800000004"/>
  </r>
  <r>
    <s v="COMPLEMENTO SERVICIO DE DESADUANAJE DE DOS GUIAS AEREAS DHL AWB # 4465114452 Y 4465120660, CORRESPONDIENTES A LA SEGUNDA ENTREGA DE 100,000 PRUEBAS"/>
    <x v="2"/>
    <s v="Fondos nacionales "/>
    <n v="1"/>
    <n v="11008.4"/>
    <n v="11008.4"/>
    <n v="440.33600000000001"/>
  </r>
  <r>
    <s v="PAGO POR LA COMPRA DE 20,000 SARS-COV-2 POR RT-PCR EN TIEMPO REAL, PARA USO EN SISTEMA ABBOTT M 2000 REALTIME"/>
    <x v="2"/>
    <s v="Fondos nacionales "/>
    <n v="20000"/>
    <n v="868.399"/>
    <n v="17367980"/>
    <n v="700000"/>
  </r>
  <r>
    <s v=" 2 Kit de extracción (HigherPurityTM Viral RNA) de 250 muestras c/u para un total de 500 muestras"/>
    <x v="2"/>
    <s v="Fondos nacionales "/>
    <n v="2"/>
    <n v="105072.655"/>
    <n v="210145.31"/>
    <n v="7980"/>
  </r>
  <r>
    <s v="SERVICIO DE DESADUANAJE DE UNA GUIA AEREA DHL #2301310535, CORRESPONDIENTE A ENTREGA DE HigherPurity TM Viral RNA Extracción, Kit de extracción para 500 muestras compradas al Proveedor CAPRIS MEDICA, COSTA RICA."/>
    <x v="2"/>
    <s v="Fondos nacionales "/>
    <n v="1"/>
    <n v="1"/>
    <n v="7812.03"/>
    <n v="312.4812"/>
  </r>
  <r>
    <s v="SERVICIO DE DESADUANAJE DE UNA GUIA AEREA DHL #3616835423, CORRESPONDIENTE A LA ENTREGA DE 10,000 MASCARILLAS DE 3 CAPAS, COMO PARTE DE LOS INSUMOS DE LOS HOSPITALES MOVILES."/>
    <x v="2"/>
    <s v="Fondos nacionales "/>
    <n v="1"/>
    <n v="1"/>
    <n v="5489.13"/>
    <n v="219.5652"/>
  </r>
  <r>
    <s v="SERVICIO DE DESADUANAJE DE UNA GUIA AEREA DHL #3616834045, CORRESPONDIENTE A LA ENTREGA DE 10,000 MASCARILLAS DE 3 CAPAS, COMO PARTE DE LOS INSUMOS DE LOS HOSPITALES MOVILES."/>
    <x v="2"/>
    <s v="Fondos nacionales "/>
    <n v="1"/>
    <n v="1"/>
    <n v="5489.13"/>
    <n v="219.5652"/>
  </r>
  <r>
    <s v="Kit de Extracción ARN Zymo Quick-RNA Viral Kit (200 reacciones)"/>
    <x v="2"/>
    <s v="Fondos nacionales "/>
    <n v="75"/>
    <n v="21366.373066666667"/>
    <n v="1602477.98"/>
    <n v="64500"/>
  </r>
  <r>
    <s v="PAGO POR COSTO DE SERVICIO DE TRAMITE ADUANERO DE 700,000 TABLETAS DE SULFATO DE  HIDROXICLOROQUINA DE 100mg. "/>
    <x v="2"/>
    <s v="Fondos nacionales "/>
    <n v="1"/>
    <n v="1"/>
    <n v="22861.34"/>
    <n v="914.45360000000005"/>
  </r>
  <r>
    <s v="PAGO POR COSTO DE SERVICIO DE TRAMITE ADUANERO DE 750,400 TABLETAS DE SULFATO DE  HIDROXICLOROQUINA DE 100mg. "/>
    <x v="2"/>
    <s v="Fondos nacionales "/>
    <n v="1"/>
    <n v="1"/>
    <n v="57071.97"/>
    <n v="2282.8788"/>
  </r>
  <r>
    <s v="PAGO POR LA COMPRA DE 20,000 SARS-COV-2 POR RT-PCR EN TIEMPO REAL, PARA USO EN SISTEMA ABBOTT M 2000 REALTIME"/>
    <x v="2"/>
    <s v="Fondos nacionales "/>
    <n v="20000"/>
    <n v="868.399"/>
    <n v="17367980"/>
    <n v="700000"/>
  </r>
  <r>
    <s v="AJUSTE POR VALOR DUPLICADO, PAGO POR LA COMPRA DE 20000 SARS-COV-2 POR RT-PCR.."/>
    <x v="2"/>
    <s v="Fondos nacionales "/>
    <n v="20000"/>
    <n v="868.399"/>
    <n v="-17367980"/>
    <n v="-700000"/>
  </r>
  <r>
    <s v="COVID-DIMERO D set de 150 pruebas mas Imp Lps. 496,125.00"/>
    <x v="3"/>
    <s v="Fondos Externos"/>
    <n v="63"/>
    <n v="52500"/>
    <n v="3803625"/>
    <n v="153155.21177688029"/>
  </r>
  <r>
    <s v="COVID Pago De Cuota Mensual De Contrato De Servicio De Mantenimiento Preventivo Y Correctivo Con Suministro De Repuestos Para Equipo De Radiología Según Contrato 26-HE-2020 Incluye ISV de 199,345.86 lps  monto total a pagar L. 1,328,972.43 "/>
    <x v="3"/>
    <s v="Fondos Externos"/>
    <n v="1"/>
    <n v="1328972.43"/>
    <n v="1328972.43"/>
    <n v="53511.861438045344"/>
  </r>
  <r>
    <s v="COVID-FERRITINA set de 200 pruebas mas Imp. Lps 85,500.00"/>
    <x v="3"/>
    <s v="Fondos Externos"/>
    <n v="30"/>
    <n v="19000"/>
    <n v="655500"/>
    <n v="26394.095453612023"/>
  </r>
  <r>
    <s v="PAGO DEL 60% DE ANTICIPO POR EL EQUIPAMIENTO DE 129 VENTILADORES MECANICOS PULMONARES COMPRADOS POR COPECO."/>
    <x v="2"/>
    <s v="Fondos nacionales "/>
    <n v="1"/>
    <n v="1"/>
    <n v="2761245"/>
    <n v="110449.8"/>
  </r>
  <r>
    <s v="Camas manuales hospitalarias"/>
    <x v="1"/>
    <s v="Fondos nacionales "/>
    <n v="12"/>
    <n v="34000"/>
    <n v="408000"/>
    <n v="16320"/>
  </r>
  <r>
    <s v="Colchones para camas hospitalarias "/>
    <x v="1"/>
    <s v="Fondos nacionales "/>
    <n v="12"/>
    <n v="6500"/>
    <n v="78000"/>
    <n v="3120"/>
  </r>
  <r>
    <s v="Camas unipersonales "/>
    <x v="1"/>
    <s v="Fondos nacionales "/>
    <n v="200"/>
    <n v="3000"/>
    <n v="600000"/>
    <n v="24000"/>
  </r>
  <r>
    <s v="Juegos de almohadas "/>
    <x v="1"/>
    <s v="Fondos nacionales "/>
    <n v="300"/>
    <n v="300"/>
    <n v="90000"/>
    <n v="3600"/>
  </r>
  <r>
    <s v="Juegos de sabanas "/>
    <x v="1"/>
    <s v="Fondos nacionales "/>
    <n v="1000"/>
    <n v="520"/>
    <n v="520000"/>
    <n v="20800"/>
  </r>
  <r>
    <s v="Toallas de baño "/>
    <x v="1"/>
    <s v="Fondos nacionales "/>
    <n v="1000"/>
    <n v="250"/>
    <n v="250000"/>
    <n v="10000"/>
  </r>
  <r>
    <s v="Mesas plegables "/>
    <x v="1"/>
    <s v="Fondos nacionales "/>
    <n v="68"/>
    <n v="3500"/>
    <n v="238000"/>
    <n v="9520"/>
  </r>
  <r>
    <s v="Sillas "/>
    <x v="1"/>
    <s v="Fondos nacionales "/>
    <n v="550"/>
    <n v="300"/>
    <n v="165000"/>
    <n v="6600"/>
  </r>
  <r>
    <s v="Materiales de aseo  "/>
    <x v="1"/>
    <s v="Fondos nacionales "/>
    <s v="En proceso de actualización en el portal del IAIP"/>
    <m/>
    <n v="239083.5"/>
    <n v="9563.34"/>
  </r>
  <r>
    <s v="Camas hospitalarias 1 funcion stl-818  "/>
    <x v="1"/>
    <s v="Fondos nacionales "/>
    <n v="9"/>
    <n v="9816.52"/>
    <n v="88348.680000000008"/>
    <n v="3533.9472000000005"/>
  </r>
  <r>
    <s v="Camas hospitalarias 2 funciones stl-828b "/>
    <x v="1"/>
    <s v="Fondos nacionales "/>
    <n v="9"/>
    <n v="12248.7"/>
    <n v="110238.3"/>
    <n v="4409.5320000000002"/>
  </r>
  <r>
    <s v="Camillas con rodos stl 604  "/>
    <x v="1"/>
    <s v="Fondos nacionales "/>
    <n v="16"/>
    <n v="8517"/>
    <n v="136272"/>
    <n v="5450.88"/>
  </r>
  <r>
    <s v="Camillas con rodos stl 602  "/>
    <x v="1"/>
    <s v="Fondos nacionales "/>
    <n v="17"/>
    <n v="10231.299999999999"/>
    <n v="173932.09999999998"/>
    <n v="6957.2839999999987"/>
  </r>
  <r>
    <s v="Dispensador de agua "/>
    <x v="1"/>
    <s v="Fondos nacionales "/>
    <n v="12"/>
    <n v="5000"/>
    <n v="60000"/>
    <n v="2400"/>
  </r>
  <r>
    <s v="Televisores 32 pulgadas "/>
    <x v="1"/>
    <s v="Fondos nacionales "/>
    <n v="10"/>
    <n v="7000"/>
    <n v="70000"/>
    <n v="2800"/>
  </r>
  <r>
    <s v="Percoladoras"/>
    <x v="1"/>
    <s v="Fondos nacionales "/>
    <n v="10"/>
    <n v="4000"/>
    <n v="40000"/>
    <n v="1600"/>
  </r>
  <r>
    <s v="Televisor 39 pulpagadas"/>
    <x v="1"/>
    <s v="Fondos nacionales "/>
    <n v="2"/>
    <n v="10000"/>
    <n v="20000"/>
    <n v="800"/>
  </r>
  <r>
    <s v="Sillas "/>
    <x v="1"/>
    <s v="Fondos nacionales "/>
    <n v="50"/>
    <n v="400"/>
    <n v="20000"/>
    <n v="800"/>
  </r>
  <r>
    <s v="Mesas de Comedor"/>
    <x v="1"/>
    <s v="Fondos nacionales "/>
    <n v="6"/>
    <n v="6920.87"/>
    <n v="41525.22"/>
    <n v="1661.0088000000001"/>
  </r>
  <r>
    <s v="Escritorios de madera"/>
    <x v="1"/>
    <s v="Fondos nacionales "/>
    <n v="2"/>
    <n v="5260.87"/>
    <n v="10521.74"/>
    <n v="420.86959999999999"/>
  </r>
  <r>
    <s v="Mesas de noche para las camas "/>
    <x v="1"/>
    <s v="Fondos nacionales "/>
    <n v="37"/>
    <n v="3200"/>
    <n v="118400"/>
    <n v="4736"/>
  </r>
  <r>
    <s v="Estantes de madera "/>
    <x v="1"/>
    <s v="Fondos nacionales "/>
    <n v="3"/>
    <n v="1500"/>
    <n v="4500"/>
    <n v="180"/>
  </r>
  <r>
    <s v="Hospital móvil (puerto de embarque y desembarque de turistas)"/>
    <x v="1"/>
    <s v="Fondos nacionales "/>
    <n v="1"/>
    <n v="4636245.5"/>
    <n v="4636245.5"/>
    <n v="185449.82"/>
  </r>
  <r>
    <s v="Unidad de aislamiento "/>
    <x v="1"/>
    <s v="Fondos nacionales "/>
    <n v="1"/>
    <n v="947583.5"/>
    <n v="947583.5"/>
    <n v="37903.339999999997"/>
  </r>
  <r>
    <s v="Hospitales Móviles"/>
    <x v="2"/>
    <s v="Fondos nacionales "/>
    <n v="2"/>
    <n v="196393220.25999999"/>
    <n v="392786440.51999998"/>
    <n v="15900032.000323841"/>
  </r>
  <r>
    <s v="Hospital Movil de 91 camas"/>
    <x v="2"/>
    <s v="Fondos nacionales "/>
    <n v="1"/>
    <n v="196903215"/>
    <n v="196903215"/>
    <n v="7950000"/>
  </r>
  <r>
    <s v="Hospital Movil de 51 camas"/>
    <x v="2"/>
    <s v="Fondos nacionales "/>
    <n v="4"/>
    <n v="142414275"/>
    <n v="569657100"/>
    <n v="23000000"/>
  </r>
  <r>
    <s v="Plantas de Tratamiento de Residuos médicos "/>
    <x v="2"/>
    <s v="Fondos nacionales "/>
    <n v="7"/>
    <n v="2167286.96"/>
    <n v="15171008.719999999"/>
    <n v="612531.99610783393"/>
  </r>
  <r>
    <s v="Pago por Liquidación Complementaria por la Administración Aduanera de Honduras en el marco del proceso de nacionalización de dos(2) Hospitales de Aislamiento Móviles para atención de pacientes diagnosticados COVID-19"/>
    <x v="2"/>
    <s v="Fondos nacionales "/>
    <n v="1"/>
    <n v="40334.83"/>
    <n v="40334.83"/>
    <n v="1613.39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8" firstHeaderRow="0" firstDataRow="1" firstDataCol="1"/>
  <pivotFields count="7">
    <pivotField showAll="0"/>
    <pivotField axis="axisRow" showAll="0">
      <items count="5">
        <item x="1"/>
        <item x="3"/>
        <item x="2"/>
        <item x="0"/>
        <item t="default"/>
      </items>
    </pivotField>
    <pivotField showAll="0"/>
    <pivotField showAll="0"/>
    <pivotField showAll="0"/>
    <pivotField dataField="1" showAll="0"/>
    <pivotField dataField="1" showAll="0"/>
  </pivotFields>
  <rowFields count="1">
    <field x="1"/>
  </rowFields>
  <rowItems count="5">
    <i>
      <x/>
    </i>
    <i>
      <x v="1"/>
    </i>
    <i>
      <x v="2"/>
    </i>
    <i>
      <x v="3"/>
    </i>
    <i t="grand">
      <x/>
    </i>
  </rowItems>
  <colFields count="1">
    <field x="-2"/>
  </colFields>
  <colItems count="2">
    <i>
      <x/>
    </i>
    <i i="1">
      <x v="1"/>
    </i>
  </colItems>
  <dataFields count="2">
    <dataField name="Suma de Monto _x000a_Lempiras" fld="5" baseField="0" baseItem="0"/>
    <dataField name="Suma de Monto Estimado US$" fld="6"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3"/>
  <sheetViews>
    <sheetView tabSelected="1" topLeftCell="A220" zoomScale="85" zoomScaleNormal="85" workbookViewId="0">
      <selection activeCell="I236" sqref="I236"/>
    </sheetView>
  </sheetViews>
  <sheetFormatPr baseColWidth="10" defaultRowHeight="14.4" x14ac:dyDescent="0.3"/>
  <cols>
    <col min="2" max="2" width="59.6640625" bestFit="1" customWidth="1"/>
    <col min="3" max="3" width="0" hidden="1" customWidth="1"/>
    <col min="4" max="4" width="18.44140625" customWidth="1"/>
    <col min="5" max="5" width="19.5546875" customWidth="1"/>
    <col min="7" max="7" width="17" customWidth="1"/>
    <col min="8" max="8" width="19.5546875" customWidth="1"/>
    <col min="9" max="9" width="19.5546875" bestFit="1" customWidth="1"/>
    <col min="10" max="24" width="0" hidden="1" customWidth="1"/>
    <col min="25" max="25" width="16.6640625" bestFit="1" customWidth="1"/>
    <col min="26" max="26" width="14.88671875" bestFit="1" customWidth="1"/>
    <col min="27" max="27" width="23.109375" customWidth="1"/>
  </cols>
  <sheetData>
    <row r="1" spans="2:25" s="1" customFormat="1" ht="21" x14ac:dyDescent="0.3">
      <c r="B1" s="196" t="s">
        <v>233</v>
      </c>
      <c r="C1" s="197"/>
      <c r="D1" s="197"/>
      <c r="E1" s="197"/>
      <c r="F1" s="197"/>
      <c r="G1" s="197"/>
      <c r="H1" s="197"/>
      <c r="I1" s="197"/>
      <c r="J1" s="197"/>
      <c r="K1" s="197"/>
      <c r="L1" s="197"/>
      <c r="M1" s="197"/>
      <c r="N1" s="197"/>
      <c r="O1" s="197"/>
      <c r="P1" s="197"/>
      <c r="Q1" s="197"/>
      <c r="R1" s="197"/>
      <c r="S1" s="197"/>
      <c r="T1" s="197"/>
      <c r="U1" s="197"/>
      <c r="V1" s="197"/>
      <c r="W1" s="197"/>
      <c r="X1" s="197"/>
      <c r="Y1" s="1">
        <v>24.767700000000001</v>
      </c>
    </row>
    <row r="2" spans="2:25" s="1" customFormat="1" ht="29.4" thickBot="1" x14ac:dyDescent="0.35">
      <c r="B2" s="2"/>
      <c r="D2" s="3"/>
      <c r="E2" s="3"/>
      <c r="F2" s="4"/>
      <c r="G2" s="5"/>
      <c r="H2" s="5"/>
      <c r="J2" s="3"/>
      <c r="K2" s="3"/>
      <c r="L2" s="6" t="s">
        <v>0</v>
      </c>
      <c r="M2" s="7">
        <v>25</v>
      </c>
      <c r="W2" s="3"/>
      <c r="X2" s="3"/>
    </row>
    <row r="3" spans="2:25" s="3" customFormat="1" x14ac:dyDescent="0.3">
      <c r="B3" s="198" t="s">
        <v>1</v>
      </c>
      <c r="C3" s="8"/>
      <c r="D3" s="192" t="s">
        <v>2</v>
      </c>
      <c r="E3" s="200" t="s">
        <v>3</v>
      </c>
      <c r="F3" s="202" t="s">
        <v>4</v>
      </c>
      <c r="G3" s="204" t="s">
        <v>5</v>
      </c>
      <c r="H3" s="204" t="s">
        <v>6</v>
      </c>
      <c r="I3" s="206" t="s">
        <v>7</v>
      </c>
      <c r="J3" s="208" t="s">
        <v>8</v>
      </c>
      <c r="K3" s="192" t="s">
        <v>9</v>
      </c>
      <c r="L3" s="192" t="s">
        <v>10</v>
      </c>
      <c r="M3" s="192" t="s">
        <v>11</v>
      </c>
      <c r="N3" s="192" t="s">
        <v>12</v>
      </c>
      <c r="O3" s="200" t="s">
        <v>13</v>
      </c>
      <c r="P3" s="200"/>
      <c r="Q3" s="200"/>
      <c r="R3" s="200"/>
      <c r="S3" s="200"/>
      <c r="T3" s="210"/>
      <c r="V3" s="204" t="s">
        <v>14</v>
      </c>
      <c r="W3" s="211" t="s">
        <v>15</v>
      </c>
      <c r="X3" s="212"/>
    </row>
    <row r="4" spans="2:25" s="3" customFormat="1" ht="29.4" thickBot="1" x14ac:dyDescent="0.35">
      <c r="B4" s="199"/>
      <c r="C4" s="9" t="s">
        <v>16</v>
      </c>
      <c r="D4" s="193"/>
      <c r="E4" s="201"/>
      <c r="F4" s="203"/>
      <c r="G4" s="205"/>
      <c r="H4" s="205"/>
      <c r="I4" s="207"/>
      <c r="J4" s="209"/>
      <c r="K4" s="193"/>
      <c r="L4" s="193"/>
      <c r="M4" s="193"/>
      <c r="N4" s="193"/>
      <c r="O4" s="9" t="s">
        <v>17</v>
      </c>
      <c r="P4" s="9" t="s">
        <v>18</v>
      </c>
      <c r="Q4" s="9" t="s">
        <v>19</v>
      </c>
      <c r="R4" s="9" t="s">
        <v>20</v>
      </c>
      <c r="S4" s="9" t="s">
        <v>21</v>
      </c>
      <c r="T4" s="10" t="s">
        <v>22</v>
      </c>
      <c r="V4" s="205"/>
      <c r="W4" s="11" t="s">
        <v>23</v>
      </c>
      <c r="X4" s="11" t="s">
        <v>24</v>
      </c>
    </row>
    <row r="5" spans="2:25" s="1" customFormat="1" x14ac:dyDescent="0.3">
      <c r="B5" s="12" t="s">
        <v>25</v>
      </c>
      <c r="C5" s="13"/>
      <c r="D5" s="14"/>
      <c r="E5" s="14"/>
      <c r="F5" s="15"/>
      <c r="G5" s="16"/>
      <c r="H5" s="16">
        <f>+H6+H68+H149+H152+H157+H222</f>
        <v>2844483251.1507282</v>
      </c>
      <c r="I5" s="17">
        <f>+H5/25</f>
        <v>113779330.04602914</v>
      </c>
      <c r="J5" s="18"/>
      <c r="K5" s="15"/>
      <c r="L5" s="19"/>
      <c r="M5" s="19"/>
      <c r="N5" s="19"/>
      <c r="O5" s="19"/>
      <c r="P5" s="19"/>
      <c r="Q5" s="19"/>
      <c r="R5" s="19"/>
      <c r="S5" s="19"/>
      <c r="T5" s="19"/>
      <c r="U5" s="20">
        <f>M5-SUM(O5:T5)</f>
        <v>0</v>
      </c>
      <c r="V5" s="13"/>
      <c r="W5" s="14"/>
      <c r="X5" s="14"/>
    </row>
    <row r="6" spans="2:25" s="1" customFormat="1" x14ac:dyDescent="0.3">
      <c r="B6" s="21" t="s">
        <v>26</v>
      </c>
      <c r="C6" s="22"/>
      <c r="D6" s="23"/>
      <c r="E6" s="183"/>
      <c r="F6" s="184"/>
      <c r="G6" s="185"/>
      <c r="H6" s="24">
        <f>SUM(H7:H67)</f>
        <v>671686128.95986867</v>
      </c>
      <c r="I6" s="165">
        <f>+SUM(I7:I67)</f>
        <v>27058427.196665511</v>
      </c>
      <c r="J6" s="25"/>
      <c r="K6" s="26"/>
      <c r="L6" s="27">
        <f>SUM(L7:L18)</f>
        <v>37924800</v>
      </c>
      <c r="M6" s="27">
        <f t="shared" ref="M6:M152" si="0">+L6/$M$2</f>
        <v>1516992</v>
      </c>
      <c r="N6" s="27">
        <f t="shared" ref="N6:T6" si="1">SUM(N7:N18)</f>
        <v>0</v>
      </c>
      <c r="O6" s="27">
        <f t="shared" si="1"/>
        <v>606796.80000000005</v>
      </c>
      <c r="P6" s="27">
        <f t="shared" si="1"/>
        <v>606796.80000000005</v>
      </c>
      <c r="Q6" s="27">
        <f t="shared" si="1"/>
        <v>303398.40000000002</v>
      </c>
      <c r="R6" s="27">
        <f t="shared" si="1"/>
        <v>0</v>
      </c>
      <c r="S6" s="27">
        <f t="shared" si="1"/>
        <v>0</v>
      </c>
      <c r="T6" s="27">
        <f t="shared" si="1"/>
        <v>0</v>
      </c>
      <c r="U6" s="20">
        <f t="shared" ref="U6:U90" si="2">M6-SUM(O6:T6)</f>
        <v>0</v>
      </c>
      <c r="V6" s="22"/>
      <c r="W6" s="23"/>
      <c r="X6" s="23"/>
    </row>
    <row r="7" spans="2:25" s="1" customFormat="1" x14ac:dyDescent="0.3">
      <c r="B7" s="28" t="s">
        <v>27</v>
      </c>
      <c r="C7" s="29"/>
      <c r="D7" s="30" t="s">
        <v>28</v>
      </c>
      <c r="E7" s="30" t="s">
        <v>29</v>
      </c>
      <c r="F7" s="31">
        <f>40000+90000</f>
        <v>130000</v>
      </c>
      <c r="G7" s="32">
        <v>190</v>
      </c>
      <c r="H7" s="32">
        <f t="shared" ref="H7:H18" si="3">G7*F7</f>
        <v>24700000</v>
      </c>
      <c r="I7" s="33">
        <f t="shared" ref="I7:I151" si="4">+H7/25</f>
        <v>988000</v>
      </c>
      <c r="J7" s="34"/>
      <c r="K7" s="35"/>
      <c r="L7" s="36">
        <f>H7</f>
        <v>24700000</v>
      </c>
      <c r="M7" s="36">
        <f t="shared" si="0"/>
        <v>988000</v>
      </c>
      <c r="N7" s="36"/>
      <c r="O7" s="36">
        <f>M7*40%</f>
        <v>395200</v>
      </c>
      <c r="P7" s="36">
        <f>O7</f>
        <v>395200</v>
      </c>
      <c r="Q7" s="36">
        <f t="shared" ref="Q7:Q23" si="5">M7*20%</f>
        <v>197600</v>
      </c>
      <c r="R7" s="36"/>
      <c r="S7" s="36"/>
      <c r="T7" s="36"/>
      <c r="U7" s="37">
        <f t="shared" si="2"/>
        <v>0</v>
      </c>
      <c r="V7" s="38" t="s">
        <v>30</v>
      </c>
      <c r="W7" s="30"/>
      <c r="X7" s="30"/>
    </row>
    <row r="8" spans="2:25" s="1" customFormat="1" x14ac:dyDescent="0.3">
      <c r="B8" s="28" t="s">
        <v>31</v>
      </c>
      <c r="C8" s="29"/>
      <c r="D8" s="30" t="s">
        <v>28</v>
      </c>
      <c r="E8" s="30" t="s">
        <v>29</v>
      </c>
      <c r="F8" s="31">
        <f>30000+63000</f>
        <v>93000</v>
      </c>
      <c r="G8" s="32">
        <v>75</v>
      </c>
      <c r="H8" s="32">
        <f t="shared" si="3"/>
        <v>6975000</v>
      </c>
      <c r="I8" s="33">
        <f t="shared" si="4"/>
        <v>279000</v>
      </c>
      <c r="J8" s="34"/>
      <c r="K8" s="35"/>
      <c r="L8" s="36">
        <f>I8</f>
        <v>279000</v>
      </c>
      <c r="M8" s="36">
        <f t="shared" si="0"/>
        <v>11160</v>
      </c>
      <c r="N8" s="36"/>
      <c r="O8" s="36">
        <f t="shared" ref="O8:O23" si="6">M8*40%</f>
        <v>4464</v>
      </c>
      <c r="P8" s="36">
        <f t="shared" ref="P8:P23" si="7">O8</f>
        <v>4464</v>
      </c>
      <c r="Q8" s="36">
        <f t="shared" si="5"/>
        <v>2232</v>
      </c>
      <c r="R8" s="36"/>
      <c r="S8" s="36"/>
      <c r="T8" s="36"/>
      <c r="U8" s="37">
        <f t="shared" si="2"/>
        <v>0</v>
      </c>
      <c r="V8" s="38"/>
      <c r="W8" s="30"/>
      <c r="X8" s="30"/>
    </row>
    <row r="9" spans="2:25" s="1" customFormat="1" x14ac:dyDescent="0.3">
      <c r="B9" s="28" t="s">
        <v>32</v>
      </c>
      <c r="C9" s="29"/>
      <c r="D9" s="30" t="s">
        <v>28</v>
      </c>
      <c r="E9" s="30" t="s">
        <v>29</v>
      </c>
      <c r="F9" s="31">
        <v>800000</v>
      </c>
      <c r="G9" s="32">
        <v>7.5</v>
      </c>
      <c r="H9" s="32">
        <f t="shared" si="3"/>
        <v>6000000</v>
      </c>
      <c r="I9" s="33">
        <f t="shared" si="4"/>
        <v>240000</v>
      </c>
      <c r="J9" s="34"/>
      <c r="K9" s="35"/>
      <c r="L9" s="36">
        <f>I9</f>
        <v>240000</v>
      </c>
      <c r="M9" s="36">
        <f t="shared" si="0"/>
        <v>9600</v>
      </c>
      <c r="N9" s="36"/>
      <c r="O9" s="36">
        <f t="shared" si="6"/>
        <v>3840</v>
      </c>
      <c r="P9" s="36">
        <f t="shared" si="7"/>
        <v>3840</v>
      </c>
      <c r="Q9" s="36">
        <f t="shared" si="5"/>
        <v>1920</v>
      </c>
      <c r="R9" s="36"/>
      <c r="S9" s="36"/>
      <c r="T9" s="36"/>
      <c r="U9" s="37">
        <f t="shared" si="2"/>
        <v>0</v>
      </c>
      <c r="V9" s="38"/>
      <c r="W9" s="30"/>
      <c r="X9" s="30"/>
    </row>
    <row r="10" spans="2:25" s="1" customFormat="1" x14ac:dyDescent="0.3">
      <c r="B10" s="28" t="s">
        <v>33</v>
      </c>
      <c r="C10" s="29"/>
      <c r="D10" s="30" t="s">
        <v>28</v>
      </c>
      <c r="E10" s="30" t="s">
        <v>29</v>
      </c>
      <c r="F10" s="31">
        <v>4000</v>
      </c>
      <c r="G10" s="32">
        <v>200</v>
      </c>
      <c r="H10" s="32">
        <f t="shared" si="3"/>
        <v>800000</v>
      </c>
      <c r="I10" s="33">
        <f t="shared" si="4"/>
        <v>32000</v>
      </c>
      <c r="J10" s="34"/>
      <c r="K10" s="35"/>
      <c r="L10" s="36">
        <f t="shared" ref="L10:L23" si="8">H10</f>
        <v>800000</v>
      </c>
      <c r="M10" s="36">
        <f t="shared" si="0"/>
        <v>32000</v>
      </c>
      <c r="N10" s="36"/>
      <c r="O10" s="36">
        <f t="shared" si="6"/>
        <v>12800</v>
      </c>
      <c r="P10" s="36">
        <f t="shared" si="7"/>
        <v>12800</v>
      </c>
      <c r="Q10" s="36">
        <f t="shared" si="5"/>
        <v>6400</v>
      </c>
      <c r="R10" s="36"/>
      <c r="S10" s="36"/>
      <c r="T10" s="36"/>
      <c r="U10" s="37">
        <f t="shared" si="2"/>
        <v>0</v>
      </c>
      <c r="V10" s="38"/>
      <c r="W10" s="30"/>
      <c r="X10" s="30"/>
    </row>
    <row r="11" spans="2:25" s="1" customFormat="1" x14ac:dyDescent="0.3">
      <c r="B11" s="28" t="s">
        <v>34</v>
      </c>
      <c r="C11" s="29"/>
      <c r="D11" s="30" t="s">
        <v>28</v>
      </c>
      <c r="E11" s="30" t="s">
        <v>29</v>
      </c>
      <c r="F11" s="31">
        <f>120000+150000</f>
        <v>270000</v>
      </c>
      <c r="G11" s="32">
        <v>8.5500000000000007</v>
      </c>
      <c r="H11" s="32">
        <f t="shared" si="3"/>
        <v>2308500</v>
      </c>
      <c r="I11" s="33">
        <f t="shared" si="4"/>
        <v>92340</v>
      </c>
      <c r="J11" s="34"/>
      <c r="K11" s="35"/>
      <c r="L11" s="36">
        <f t="shared" si="8"/>
        <v>2308500</v>
      </c>
      <c r="M11" s="36">
        <f t="shared" si="0"/>
        <v>92340</v>
      </c>
      <c r="N11" s="36"/>
      <c r="O11" s="36">
        <f t="shared" si="6"/>
        <v>36936</v>
      </c>
      <c r="P11" s="36">
        <f t="shared" si="7"/>
        <v>36936</v>
      </c>
      <c r="Q11" s="36">
        <f t="shared" si="5"/>
        <v>18468</v>
      </c>
      <c r="R11" s="36"/>
      <c r="S11" s="36"/>
      <c r="T11" s="36"/>
      <c r="U11" s="37">
        <f t="shared" si="2"/>
        <v>0</v>
      </c>
      <c r="V11" s="38"/>
      <c r="W11" s="30"/>
      <c r="X11" s="30"/>
    </row>
    <row r="12" spans="2:25" s="1" customFormat="1" x14ac:dyDescent="0.3">
      <c r="B12" s="28" t="s">
        <v>35</v>
      </c>
      <c r="C12" s="29"/>
      <c r="D12" s="30" t="s">
        <v>28</v>
      </c>
      <c r="E12" s="30" t="s">
        <v>29</v>
      </c>
      <c r="F12" s="31">
        <f>150000</f>
        <v>150000</v>
      </c>
      <c r="G12" s="32">
        <v>8.5500000000000007</v>
      </c>
      <c r="H12" s="32">
        <f t="shared" si="3"/>
        <v>1282500</v>
      </c>
      <c r="I12" s="33">
        <f t="shared" si="4"/>
        <v>51300</v>
      </c>
      <c r="J12" s="34"/>
      <c r="K12" s="35"/>
      <c r="L12" s="36">
        <f t="shared" si="8"/>
        <v>1282500</v>
      </c>
      <c r="M12" s="36">
        <f t="shared" si="0"/>
        <v>51300</v>
      </c>
      <c r="N12" s="36"/>
      <c r="O12" s="36">
        <f t="shared" si="6"/>
        <v>20520</v>
      </c>
      <c r="P12" s="36">
        <f t="shared" si="7"/>
        <v>20520</v>
      </c>
      <c r="Q12" s="36">
        <f t="shared" si="5"/>
        <v>10260</v>
      </c>
      <c r="R12" s="36"/>
      <c r="S12" s="36"/>
      <c r="T12" s="36"/>
      <c r="U12" s="37">
        <f t="shared" si="2"/>
        <v>0</v>
      </c>
      <c r="V12" s="38"/>
      <c r="W12" s="30"/>
      <c r="X12" s="30"/>
    </row>
    <row r="13" spans="2:25" s="1" customFormat="1" x14ac:dyDescent="0.3">
      <c r="B13" s="28" t="s">
        <v>36</v>
      </c>
      <c r="C13" s="29"/>
      <c r="D13" s="30" t="s">
        <v>28</v>
      </c>
      <c r="E13" s="30" t="s">
        <v>29</v>
      </c>
      <c r="F13" s="31">
        <v>200000</v>
      </c>
      <c r="G13" s="32">
        <v>8.5500000000000007</v>
      </c>
      <c r="H13" s="32">
        <f t="shared" si="3"/>
        <v>1710000.0000000002</v>
      </c>
      <c r="I13" s="33">
        <f t="shared" si="4"/>
        <v>68400.000000000015</v>
      </c>
      <c r="J13" s="34"/>
      <c r="K13" s="35"/>
      <c r="L13" s="36">
        <f t="shared" si="8"/>
        <v>1710000.0000000002</v>
      </c>
      <c r="M13" s="36">
        <f t="shared" si="0"/>
        <v>68400.000000000015</v>
      </c>
      <c r="N13" s="36"/>
      <c r="O13" s="36">
        <f t="shared" si="6"/>
        <v>27360.000000000007</v>
      </c>
      <c r="P13" s="36">
        <f t="shared" si="7"/>
        <v>27360.000000000007</v>
      </c>
      <c r="Q13" s="36">
        <f t="shared" si="5"/>
        <v>13680.000000000004</v>
      </c>
      <c r="R13" s="36"/>
      <c r="S13" s="36"/>
      <c r="T13" s="36"/>
      <c r="U13" s="37">
        <f t="shared" si="2"/>
        <v>0</v>
      </c>
      <c r="V13" s="38"/>
      <c r="W13" s="30"/>
      <c r="X13" s="30"/>
    </row>
    <row r="14" spans="2:25" s="1" customFormat="1" x14ac:dyDescent="0.3">
      <c r="B14" s="28" t="s">
        <v>37</v>
      </c>
      <c r="C14" s="29"/>
      <c r="D14" s="30" t="s">
        <v>28</v>
      </c>
      <c r="E14" s="30" t="s">
        <v>29</v>
      </c>
      <c r="F14" s="31">
        <v>50000</v>
      </c>
      <c r="G14" s="32">
        <v>8.5500000000000007</v>
      </c>
      <c r="H14" s="32">
        <f t="shared" si="3"/>
        <v>427500.00000000006</v>
      </c>
      <c r="I14" s="33">
        <f t="shared" si="4"/>
        <v>17100.000000000004</v>
      </c>
      <c r="J14" s="34"/>
      <c r="K14" s="35"/>
      <c r="L14" s="36">
        <f t="shared" si="8"/>
        <v>427500.00000000006</v>
      </c>
      <c r="M14" s="36">
        <f t="shared" si="0"/>
        <v>17100.000000000004</v>
      </c>
      <c r="N14" s="36"/>
      <c r="O14" s="36">
        <f t="shared" si="6"/>
        <v>6840.0000000000018</v>
      </c>
      <c r="P14" s="36">
        <f t="shared" si="7"/>
        <v>6840.0000000000018</v>
      </c>
      <c r="Q14" s="36">
        <f t="shared" si="5"/>
        <v>3420.0000000000009</v>
      </c>
      <c r="R14" s="36"/>
      <c r="S14" s="36"/>
      <c r="T14" s="36"/>
      <c r="U14" s="37">
        <f t="shared" si="2"/>
        <v>0</v>
      </c>
      <c r="V14" s="38"/>
      <c r="W14" s="30"/>
      <c r="X14" s="30"/>
    </row>
    <row r="15" spans="2:25" s="1" customFormat="1" x14ac:dyDescent="0.3">
      <c r="B15" s="28" t="s">
        <v>38</v>
      </c>
      <c r="C15" s="29"/>
      <c r="D15" s="30" t="s">
        <v>28</v>
      </c>
      <c r="E15" s="30" t="s">
        <v>29</v>
      </c>
      <c r="F15" s="31">
        <v>120000</v>
      </c>
      <c r="G15" s="32">
        <v>2.95</v>
      </c>
      <c r="H15" s="32">
        <f t="shared" si="3"/>
        <v>354000</v>
      </c>
      <c r="I15" s="33">
        <f t="shared" si="4"/>
        <v>14160</v>
      </c>
      <c r="J15" s="34"/>
      <c r="K15" s="35"/>
      <c r="L15" s="36">
        <f t="shared" si="8"/>
        <v>354000</v>
      </c>
      <c r="M15" s="36">
        <f t="shared" si="0"/>
        <v>14160</v>
      </c>
      <c r="N15" s="36"/>
      <c r="O15" s="36">
        <f t="shared" si="6"/>
        <v>5664</v>
      </c>
      <c r="P15" s="36">
        <f t="shared" si="7"/>
        <v>5664</v>
      </c>
      <c r="Q15" s="36">
        <f t="shared" si="5"/>
        <v>2832</v>
      </c>
      <c r="R15" s="36"/>
      <c r="S15" s="36"/>
      <c r="T15" s="36"/>
      <c r="U15" s="37">
        <f t="shared" si="2"/>
        <v>0</v>
      </c>
      <c r="V15" s="38"/>
      <c r="W15" s="30"/>
      <c r="X15" s="30"/>
    </row>
    <row r="16" spans="2:25" s="1" customFormat="1" x14ac:dyDescent="0.3">
      <c r="B16" s="28" t="s">
        <v>39</v>
      </c>
      <c r="C16" s="29"/>
      <c r="D16" s="30" t="s">
        <v>28</v>
      </c>
      <c r="E16" s="30" t="s">
        <v>29</v>
      </c>
      <c r="F16" s="31">
        <f>150000+750000</f>
        <v>900000</v>
      </c>
      <c r="G16" s="32">
        <v>2.95</v>
      </c>
      <c r="H16" s="32">
        <f t="shared" si="3"/>
        <v>2655000</v>
      </c>
      <c r="I16" s="33">
        <f t="shared" si="4"/>
        <v>106200</v>
      </c>
      <c r="J16" s="34"/>
      <c r="K16" s="35"/>
      <c r="L16" s="36">
        <f t="shared" si="8"/>
        <v>2655000</v>
      </c>
      <c r="M16" s="36">
        <f t="shared" si="0"/>
        <v>106200</v>
      </c>
      <c r="N16" s="36"/>
      <c r="O16" s="36">
        <f t="shared" si="6"/>
        <v>42480</v>
      </c>
      <c r="P16" s="36">
        <f t="shared" si="7"/>
        <v>42480</v>
      </c>
      <c r="Q16" s="36">
        <f t="shared" si="5"/>
        <v>21240</v>
      </c>
      <c r="R16" s="36"/>
      <c r="S16" s="36"/>
      <c r="T16" s="36"/>
      <c r="U16" s="37">
        <f t="shared" si="2"/>
        <v>0</v>
      </c>
      <c r="V16" s="38"/>
      <c r="W16" s="30"/>
      <c r="X16" s="30"/>
    </row>
    <row r="17" spans="2:24" s="1" customFormat="1" x14ac:dyDescent="0.3">
      <c r="B17" s="28" t="s">
        <v>40</v>
      </c>
      <c r="C17" s="29"/>
      <c r="D17" s="30" t="s">
        <v>28</v>
      </c>
      <c r="E17" s="30" t="s">
        <v>29</v>
      </c>
      <c r="F17" s="31">
        <f>150000+750000</f>
        <v>900000</v>
      </c>
      <c r="G17" s="32">
        <v>2.95</v>
      </c>
      <c r="H17" s="32">
        <f t="shared" si="3"/>
        <v>2655000</v>
      </c>
      <c r="I17" s="33">
        <f t="shared" si="4"/>
        <v>106200</v>
      </c>
      <c r="J17" s="34"/>
      <c r="K17" s="35"/>
      <c r="L17" s="36">
        <f t="shared" si="8"/>
        <v>2655000</v>
      </c>
      <c r="M17" s="36">
        <f t="shared" si="0"/>
        <v>106200</v>
      </c>
      <c r="N17" s="36"/>
      <c r="O17" s="36">
        <f t="shared" si="6"/>
        <v>42480</v>
      </c>
      <c r="P17" s="36">
        <f t="shared" si="7"/>
        <v>42480</v>
      </c>
      <c r="Q17" s="36">
        <f t="shared" si="5"/>
        <v>21240</v>
      </c>
      <c r="R17" s="36"/>
      <c r="S17" s="36"/>
      <c r="T17" s="36"/>
      <c r="U17" s="37">
        <f t="shared" si="2"/>
        <v>0</v>
      </c>
      <c r="V17" s="38"/>
      <c r="W17" s="30"/>
      <c r="X17" s="30"/>
    </row>
    <row r="18" spans="2:24" s="1" customFormat="1" x14ac:dyDescent="0.3">
      <c r="B18" s="28" t="s">
        <v>41</v>
      </c>
      <c r="C18" s="29"/>
      <c r="D18" s="30" t="s">
        <v>28</v>
      </c>
      <c r="E18" s="30" t="s">
        <v>29</v>
      </c>
      <c r="F18" s="31">
        <f>70000+104000</f>
        <v>174000</v>
      </c>
      <c r="G18" s="32">
        <v>2.95</v>
      </c>
      <c r="H18" s="32">
        <f t="shared" si="3"/>
        <v>513300.00000000006</v>
      </c>
      <c r="I18" s="33">
        <f t="shared" si="4"/>
        <v>20532.000000000004</v>
      </c>
      <c r="J18" s="34"/>
      <c r="K18" s="35"/>
      <c r="L18" s="36">
        <f t="shared" si="8"/>
        <v>513300.00000000006</v>
      </c>
      <c r="M18" s="36">
        <f t="shared" si="0"/>
        <v>20532.000000000004</v>
      </c>
      <c r="N18" s="36"/>
      <c r="O18" s="36">
        <f t="shared" si="6"/>
        <v>8212.8000000000011</v>
      </c>
      <c r="P18" s="36">
        <f t="shared" si="7"/>
        <v>8212.8000000000011</v>
      </c>
      <c r="Q18" s="36">
        <f t="shared" si="5"/>
        <v>4106.4000000000005</v>
      </c>
      <c r="R18" s="36"/>
      <c r="S18" s="36"/>
      <c r="T18" s="36"/>
      <c r="U18" s="37">
        <f t="shared" si="2"/>
        <v>0</v>
      </c>
      <c r="V18" s="38"/>
      <c r="W18" s="30"/>
      <c r="X18" s="30"/>
    </row>
    <row r="19" spans="2:24" s="1" customFormat="1" x14ac:dyDescent="0.3">
      <c r="B19" s="117" t="s">
        <v>126</v>
      </c>
      <c r="C19" s="29"/>
      <c r="D19" s="30" t="s">
        <v>28</v>
      </c>
      <c r="E19" s="118" t="s">
        <v>73</v>
      </c>
      <c r="F19" s="194" t="s">
        <v>128</v>
      </c>
      <c r="G19" s="195"/>
      <c r="H19" s="32">
        <v>399379911.19999999</v>
      </c>
      <c r="I19" s="120">
        <v>16125030.228886815</v>
      </c>
      <c r="J19" s="34"/>
      <c r="K19" s="35"/>
      <c r="L19" s="36"/>
      <c r="M19" s="36"/>
      <c r="N19" s="36"/>
      <c r="O19" s="36"/>
      <c r="P19" s="36"/>
      <c r="Q19" s="36"/>
      <c r="R19" s="36"/>
      <c r="S19" s="36"/>
      <c r="T19" s="36"/>
      <c r="U19" s="37"/>
      <c r="V19" s="38"/>
      <c r="W19" s="30"/>
      <c r="X19" s="30"/>
    </row>
    <row r="20" spans="2:24" s="1" customFormat="1" ht="43.2" x14ac:dyDescent="0.3">
      <c r="B20" s="28" t="s">
        <v>33</v>
      </c>
      <c r="C20" s="29"/>
      <c r="D20" s="30" t="s">
        <v>42</v>
      </c>
      <c r="E20" s="30" t="s">
        <v>43</v>
      </c>
      <c r="F20" s="31">
        <v>5000</v>
      </c>
      <c r="G20" s="32">
        <v>55</v>
      </c>
      <c r="H20" s="32">
        <f>G20*F20</f>
        <v>275000</v>
      </c>
      <c r="I20" s="33">
        <f t="shared" si="4"/>
        <v>11000</v>
      </c>
      <c r="J20" s="34">
        <v>43904</v>
      </c>
      <c r="K20" s="35" t="s">
        <v>44</v>
      </c>
      <c r="L20" s="36">
        <f t="shared" si="8"/>
        <v>275000</v>
      </c>
      <c r="M20" s="36">
        <f t="shared" si="0"/>
        <v>11000</v>
      </c>
      <c r="N20" s="36"/>
      <c r="O20" s="36">
        <f t="shared" si="6"/>
        <v>4400</v>
      </c>
      <c r="P20" s="36">
        <f t="shared" si="7"/>
        <v>4400</v>
      </c>
      <c r="Q20" s="36">
        <f t="shared" si="5"/>
        <v>2200</v>
      </c>
      <c r="R20" s="36"/>
      <c r="S20" s="36"/>
      <c r="T20" s="36"/>
      <c r="U20" s="37">
        <f t="shared" si="2"/>
        <v>0</v>
      </c>
      <c r="V20" s="38"/>
      <c r="W20" s="30"/>
      <c r="X20" s="30"/>
    </row>
    <row r="21" spans="2:24" s="1" customFormat="1" ht="43.2" x14ac:dyDescent="0.3">
      <c r="B21" s="28" t="s">
        <v>35</v>
      </c>
      <c r="C21" s="29"/>
      <c r="D21" s="30" t="s">
        <v>42</v>
      </c>
      <c r="E21" s="30" t="s">
        <v>43</v>
      </c>
      <c r="F21" s="31">
        <f>35000+100</f>
        <v>35100</v>
      </c>
      <c r="G21" s="32">
        <v>7</v>
      </c>
      <c r="H21" s="32">
        <f>G21*F21</f>
        <v>245700</v>
      </c>
      <c r="I21" s="33">
        <f t="shared" si="4"/>
        <v>9828</v>
      </c>
      <c r="J21" s="34">
        <v>43905</v>
      </c>
      <c r="K21" s="35" t="s">
        <v>44</v>
      </c>
      <c r="L21" s="36">
        <f t="shared" si="8"/>
        <v>245700</v>
      </c>
      <c r="M21" s="36">
        <f t="shared" si="0"/>
        <v>9828</v>
      </c>
      <c r="N21" s="36"/>
      <c r="O21" s="36">
        <f t="shared" si="6"/>
        <v>3931.2000000000003</v>
      </c>
      <c r="P21" s="36">
        <f t="shared" si="7"/>
        <v>3931.2000000000003</v>
      </c>
      <c r="Q21" s="36">
        <f t="shared" si="5"/>
        <v>1965.6000000000001</v>
      </c>
      <c r="R21" s="36"/>
      <c r="S21" s="36"/>
      <c r="T21" s="36"/>
      <c r="U21" s="37">
        <f t="shared" si="2"/>
        <v>0</v>
      </c>
      <c r="V21" s="38"/>
      <c r="W21" s="30"/>
      <c r="X21" s="30"/>
    </row>
    <row r="22" spans="2:24" s="1" customFormat="1" ht="43.2" x14ac:dyDescent="0.3">
      <c r="B22" s="28" t="s">
        <v>36</v>
      </c>
      <c r="C22" s="29"/>
      <c r="D22" s="30" t="s">
        <v>42</v>
      </c>
      <c r="E22" s="30" t="s">
        <v>43</v>
      </c>
      <c r="F22" s="31">
        <v>3000</v>
      </c>
      <c r="G22" s="32">
        <v>7</v>
      </c>
      <c r="H22" s="32">
        <f>G22*F22</f>
        <v>21000</v>
      </c>
      <c r="I22" s="33">
        <f t="shared" si="4"/>
        <v>840</v>
      </c>
      <c r="J22" s="34">
        <v>43905</v>
      </c>
      <c r="K22" s="35" t="s">
        <v>44</v>
      </c>
      <c r="L22" s="36">
        <f t="shared" si="8"/>
        <v>21000</v>
      </c>
      <c r="M22" s="36">
        <f t="shared" si="0"/>
        <v>840</v>
      </c>
      <c r="N22" s="36"/>
      <c r="O22" s="36">
        <f t="shared" si="6"/>
        <v>336</v>
      </c>
      <c r="P22" s="36">
        <f t="shared" si="7"/>
        <v>336</v>
      </c>
      <c r="Q22" s="36">
        <f t="shared" si="5"/>
        <v>168</v>
      </c>
      <c r="R22" s="36"/>
      <c r="S22" s="36"/>
      <c r="T22" s="36"/>
      <c r="U22" s="37">
        <f t="shared" si="2"/>
        <v>0</v>
      </c>
      <c r="V22" s="38"/>
      <c r="W22" s="30"/>
      <c r="X22" s="30"/>
    </row>
    <row r="23" spans="2:24" s="1" customFormat="1" ht="43.2" x14ac:dyDescent="0.3">
      <c r="B23" s="28" t="s">
        <v>37</v>
      </c>
      <c r="C23" s="29"/>
      <c r="D23" s="30" t="s">
        <v>42</v>
      </c>
      <c r="E23" s="30" t="s">
        <v>43</v>
      </c>
      <c r="F23" s="31">
        <f>35000+100</f>
        <v>35100</v>
      </c>
      <c r="G23" s="32">
        <v>7</v>
      </c>
      <c r="H23" s="32">
        <f>G23*F23</f>
        <v>245700</v>
      </c>
      <c r="I23" s="33">
        <f t="shared" si="4"/>
        <v>9828</v>
      </c>
      <c r="J23" s="34">
        <v>43908</v>
      </c>
      <c r="K23" s="35" t="s">
        <v>44</v>
      </c>
      <c r="L23" s="36">
        <f t="shared" si="8"/>
        <v>245700</v>
      </c>
      <c r="M23" s="36">
        <f t="shared" si="0"/>
        <v>9828</v>
      </c>
      <c r="N23" s="36"/>
      <c r="O23" s="36">
        <f t="shared" si="6"/>
        <v>3931.2000000000003</v>
      </c>
      <c r="P23" s="36">
        <f t="shared" si="7"/>
        <v>3931.2000000000003</v>
      </c>
      <c r="Q23" s="36">
        <f t="shared" si="5"/>
        <v>1965.6000000000001</v>
      </c>
      <c r="R23" s="36"/>
      <c r="S23" s="36"/>
      <c r="T23" s="36"/>
      <c r="U23" s="37">
        <f t="shared" si="2"/>
        <v>0</v>
      </c>
      <c r="V23" s="38"/>
      <c r="W23" s="30"/>
      <c r="X23" s="30"/>
    </row>
    <row r="24" spans="2:24" s="119" customFormat="1" x14ac:dyDescent="0.3">
      <c r="B24" s="121" t="s">
        <v>126</v>
      </c>
      <c r="C24" s="29"/>
      <c r="D24" s="30" t="s">
        <v>42</v>
      </c>
      <c r="E24" s="123" t="s">
        <v>127</v>
      </c>
      <c r="F24" s="194" t="s">
        <v>128</v>
      </c>
      <c r="G24" s="195"/>
      <c r="H24" s="32">
        <v>24710800</v>
      </c>
      <c r="I24" s="122">
        <v>1000000</v>
      </c>
      <c r="J24" s="34"/>
      <c r="K24" s="35"/>
      <c r="L24" s="36"/>
      <c r="M24" s="36"/>
      <c r="N24" s="36"/>
      <c r="O24" s="36"/>
      <c r="P24" s="36"/>
      <c r="Q24" s="36"/>
      <c r="R24" s="36"/>
      <c r="S24" s="36"/>
      <c r="T24" s="36"/>
      <c r="U24" s="37"/>
      <c r="V24" s="38"/>
      <c r="W24" s="30"/>
      <c r="X24" s="30"/>
    </row>
    <row r="25" spans="2:24" s="119" customFormat="1" x14ac:dyDescent="0.3">
      <c r="B25" s="58" t="s">
        <v>151</v>
      </c>
      <c r="C25" s="59"/>
      <c r="D25" s="54" t="s">
        <v>88</v>
      </c>
      <c r="E25" s="54" t="s">
        <v>73</v>
      </c>
      <c r="F25" s="61">
        <v>474000</v>
      </c>
      <c r="G25" s="69">
        <v>107.25</v>
      </c>
      <c r="H25" s="32">
        <v>-50836500</v>
      </c>
      <c r="I25" s="169">
        <v>-2049296.9750000001</v>
      </c>
      <c r="J25" s="34"/>
      <c r="K25" s="35"/>
      <c r="L25" s="36"/>
      <c r="M25" s="36"/>
      <c r="N25" s="36"/>
      <c r="O25" s="36"/>
      <c r="P25" s="36"/>
      <c r="Q25" s="36"/>
      <c r="R25" s="36"/>
      <c r="S25" s="36"/>
      <c r="T25" s="36"/>
      <c r="U25" s="114"/>
      <c r="V25" s="38"/>
      <c r="W25" s="30"/>
      <c r="X25" s="30"/>
    </row>
    <row r="26" spans="2:24" s="1" customFormat="1" x14ac:dyDescent="0.3">
      <c r="B26" s="115" t="s">
        <v>123</v>
      </c>
      <c r="C26" s="29"/>
      <c r="D26" s="60" t="s">
        <v>88</v>
      </c>
      <c r="E26" s="98" t="s">
        <v>73</v>
      </c>
      <c r="F26" s="31">
        <v>474000</v>
      </c>
      <c r="G26" s="32">
        <v>107.25</v>
      </c>
      <c r="H26" s="32">
        <v>50836500</v>
      </c>
      <c r="I26" s="169">
        <v>2049296.9749999999</v>
      </c>
      <c r="J26" s="34"/>
      <c r="K26" s="35"/>
      <c r="L26" s="36"/>
      <c r="M26" s="36"/>
      <c r="N26" s="36"/>
      <c r="O26" s="36"/>
      <c r="P26" s="36"/>
      <c r="Q26" s="36"/>
      <c r="R26" s="36"/>
      <c r="S26" s="36"/>
      <c r="T26" s="36"/>
      <c r="U26" s="114"/>
      <c r="V26" s="38"/>
      <c r="W26" s="30"/>
      <c r="X26" s="30"/>
    </row>
    <row r="27" spans="2:24" s="57" customFormat="1" x14ac:dyDescent="0.3">
      <c r="B27" s="58" t="s">
        <v>123</v>
      </c>
      <c r="C27" s="59"/>
      <c r="D27" s="54" t="s">
        <v>88</v>
      </c>
      <c r="E27" s="54" t="s">
        <v>73</v>
      </c>
      <c r="F27" s="61">
        <v>1331280</v>
      </c>
      <c r="G27" s="69">
        <v>8.6902899990000009</v>
      </c>
      <c r="H27" s="32">
        <v>11569209.26986872</v>
      </c>
      <c r="I27" s="63">
        <v>465948</v>
      </c>
      <c r="J27" s="64"/>
      <c r="K27" s="65"/>
      <c r="L27" s="66"/>
      <c r="M27" s="66"/>
      <c r="N27" s="66"/>
      <c r="O27" s="66"/>
      <c r="P27" s="66"/>
      <c r="Q27" s="66"/>
      <c r="R27" s="66"/>
      <c r="S27" s="66"/>
      <c r="T27" s="66"/>
      <c r="U27" s="67"/>
      <c r="V27" s="68"/>
      <c r="W27" s="60"/>
      <c r="X27" s="60"/>
    </row>
    <row r="28" spans="2:24" s="57" customFormat="1" x14ac:dyDescent="0.3">
      <c r="B28" s="58" t="s">
        <v>136</v>
      </c>
      <c r="C28" s="59"/>
      <c r="D28" s="54" t="s">
        <v>88</v>
      </c>
      <c r="E28" s="54" t="s">
        <v>73</v>
      </c>
      <c r="F28" s="61"/>
      <c r="G28" s="69"/>
      <c r="H28" s="32">
        <v>27886487.859999999</v>
      </c>
      <c r="I28" s="63">
        <v>1115459.5144</v>
      </c>
      <c r="J28" s="64"/>
      <c r="K28" s="65"/>
      <c r="L28" s="66"/>
      <c r="M28" s="66"/>
      <c r="N28" s="66"/>
      <c r="O28" s="66"/>
      <c r="P28" s="66"/>
      <c r="Q28" s="66"/>
      <c r="R28" s="66"/>
      <c r="S28" s="66"/>
      <c r="T28" s="66"/>
      <c r="U28" s="67"/>
      <c r="V28" s="68"/>
      <c r="W28" s="60"/>
      <c r="X28" s="60"/>
    </row>
    <row r="29" spans="2:24" s="57" customFormat="1" x14ac:dyDescent="0.3">
      <c r="B29" s="58" t="s">
        <v>137</v>
      </c>
      <c r="C29" s="59"/>
      <c r="D29" s="54" t="s">
        <v>88</v>
      </c>
      <c r="E29" s="54" t="s">
        <v>73</v>
      </c>
      <c r="F29" s="61"/>
      <c r="G29" s="69"/>
      <c r="H29" s="32">
        <v>13418456.24</v>
      </c>
      <c r="I29" s="63">
        <v>536738.24959999998</v>
      </c>
      <c r="J29" s="64"/>
      <c r="K29" s="65"/>
      <c r="L29" s="66"/>
      <c r="M29" s="66"/>
      <c r="N29" s="66"/>
      <c r="O29" s="66"/>
      <c r="P29" s="66"/>
      <c r="Q29" s="66"/>
      <c r="R29" s="66"/>
      <c r="S29" s="66"/>
      <c r="T29" s="66"/>
      <c r="U29" s="67"/>
      <c r="V29" s="68"/>
      <c r="W29" s="60"/>
      <c r="X29" s="60"/>
    </row>
    <row r="30" spans="2:24" s="57" customFormat="1" x14ac:dyDescent="0.3">
      <c r="B30" s="58" t="s">
        <v>157</v>
      </c>
      <c r="C30" s="59"/>
      <c r="D30" s="54" t="s">
        <v>88</v>
      </c>
      <c r="E30" s="54" t="s">
        <v>73</v>
      </c>
      <c r="F30" s="61"/>
      <c r="G30" s="69"/>
      <c r="H30" s="32">
        <v>19229106.82</v>
      </c>
      <c r="I30" s="63">
        <v>774380.5</v>
      </c>
      <c r="J30" s="64"/>
      <c r="K30" s="65"/>
      <c r="L30" s="66"/>
      <c r="M30" s="66"/>
      <c r="N30" s="66"/>
      <c r="O30" s="66"/>
      <c r="P30" s="66"/>
      <c r="Q30" s="66"/>
      <c r="R30" s="66"/>
      <c r="S30" s="66"/>
      <c r="T30" s="66"/>
      <c r="U30" s="67"/>
      <c r="V30" s="68"/>
      <c r="W30" s="60"/>
      <c r="X30" s="60"/>
    </row>
    <row r="31" spans="2:24" s="57" customFormat="1" x14ac:dyDescent="0.3">
      <c r="B31" s="58" t="s">
        <v>123</v>
      </c>
      <c r="C31" s="59"/>
      <c r="D31" s="54" t="s">
        <v>88</v>
      </c>
      <c r="E31" s="54" t="s">
        <v>73</v>
      </c>
      <c r="F31" s="61">
        <v>5167596</v>
      </c>
      <c r="G31" s="69">
        <v>8.6910599996594193</v>
      </c>
      <c r="H31" s="32">
        <v>44911886.890000015</v>
      </c>
      <c r="I31" s="63">
        <v>1808659</v>
      </c>
      <c r="J31" s="64"/>
      <c r="K31" s="65"/>
      <c r="L31" s="66"/>
      <c r="M31" s="66"/>
      <c r="N31" s="66"/>
      <c r="O31" s="66"/>
      <c r="P31" s="66"/>
      <c r="Q31" s="66"/>
      <c r="R31" s="66"/>
      <c r="S31" s="66"/>
      <c r="T31" s="66"/>
      <c r="U31" s="67"/>
      <c r="V31" s="68"/>
      <c r="W31" s="60"/>
      <c r="X31" s="60"/>
    </row>
    <row r="32" spans="2:24" s="57" customFormat="1" x14ac:dyDescent="0.3">
      <c r="B32" s="58" t="s">
        <v>123</v>
      </c>
      <c r="C32" s="59"/>
      <c r="D32" s="54" t="s">
        <v>88</v>
      </c>
      <c r="E32" s="54" t="s">
        <v>73</v>
      </c>
      <c r="F32" s="61">
        <v>1401988</v>
      </c>
      <c r="G32" s="69">
        <v>8.6922849981597565</v>
      </c>
      <c r="H32" s="32">
        <v>12186479.26</v>
      </c>
      <c r="I32" s="63">
        <v>490695.8</v>
      </c>
      <c r="J32" s="64"/>
      <c r="K32" s="65"/>
      <c r="L32" s="66"/>
      <c r="M32" s="66"/>
      <c r="N32" s="66"/>
      <c r="O32" s="66"/>
      <c r="P32" s="66"/>
      <c r="Q32" s="66"/>
      <c r="R32" s="66"/>
      <c r="S32" s="66"/>
      <c r="T32" s="66"/>
      <c r="U32" s="67"/>
      <c r="V32" s="68"/>
      <c r="W32" s="60"/>
      <c r="X32" s="60"/>
    </row>
    <row r="33" spans="2:27" s="57" customFormat="1" x14ac:dyDescent="0.3">
      <c r="B33" s="58" t="s">
        <v>152</v>
      </c>
      <c r="C33" s="59"/>
      <c r="D33" s="54" t="s">
        <v>88</v>
      </c>
      <c r="E33" s="54" t="s">
        <v>73</v>
      </c>
      <c r="F33" s="61" t="s">
        <v>154</v>
      </c>
      <c r="G33" s="69" t="s">
        <v>154</v>
      </c>
      <c r="H33" s="32">
        <v>7659429.2199999997</v>
      </c>
      <c r="I33" s="63">
        <v>306377.16879999998</v>
      </c>
      <c r="J33" s="64"/>
      <c r="K33" s="65"/>
      <c r="L33" s="66"/>
      <c r="M33" s="66"/>
      <c r="N33" s="66"/>
      <c r="O33" s="66"/>
      <c r="P33" s="66"/>
      <c r="Q33" s="66"/>
      <c r="R33" s="66"/>
      <c r="S33" s="66"/>
      <c r="T33" s="66"/>
      <c r="U33" s="67"/>
      <c r="V33" s="68"/>
      <c r="W33" s="60"/>
      <c r="X33" s="60"/>
    </row>
    <row r="34" spans="2:27" s="57" customFormat="1" x14ac:dyDescent="0.3">
      <c r="B34" s="58" t="s">
        <v>153</v>
      </c>
      <c r="C34" s="59"/>
      <c r="D34" s="54" t="s">
        <v>88</v>
      </c>
      <c r="E34" s="54" t="s">
        <v>73</v>
      </c>
      <c r="F34" s="61">
        <v>9190</v>
      </c>
      <c r="G34" s="69">
        <v>198.82570837867246</v>
      </c>
      <c r="H34" s="32">
        <v>1827208.26</v>
      </c>
      <c r="I34" s="63">
        <v>73611.899999999994</v>
      </c>
      <c r="J34" s="64"/>
      <c r="K34" s="65"/>
      <c r="L34" s="66"/>
      <c r="M34" s="66"/>
      <c r="N34" s="66"/>
      <c r="O34" s="66"/>
      <c r="P34" s="66"/>
      <c r="Q34" s="66"/>
      <c r="R34" s="66"/>
      <c r="S34" s="66"/>
      <c r="T34" s="66"/>
      <c r="U34" s="67"/>
      <c r="V34" s="68"/>
      <c r="W34" s="60"/>
      <c r="X34" s="60"/>
    </row>
    <row r="35" spans="2:27" s="57" customFormat="1" x14ac:dyDescent="0.3">
      <c r="B35" s="58" t="s">
        <v>160</v>
      </c>
      <c r="C35" s="59"/>
      <c r="D35" s="54" t="s">
        <v>88</v>
      </c>
      <c r="E35" s="54" t="s">
        <v>73</v>
      </c>
      <c r="F35" s="61"/>
      <c r="G35" s="69"/>
      <c r="H35" s="32">
        <v>1282497.2</v>
      </c>
      <c r="I35" s="63">
        <v>51792.56</v>
      </c>
      <c r="J35" s="64"/>
      <c r="K35" s="65"/>
      <c r="L35" s="66"/>
      <c r="M35" s="66"/>
      <c r="N35" s="66"/>
      <c r="O35" s="66"/>
      <c r="P35" s="66"/>
      <c r="Q35" s="66"/>
      <c r="R35" s="66"/>
      <c r="S35" s="66"/>
      <c r="T35" s="66"/>
      <c r="U35" s="67"/>
      <c r="V35" s="68"/>
      <c r="W35" s="60"/>
      <c r="X35" s="60"/>
    </row>
    <row r="36" spans="2:27" s="57" customFormat="1" x14ac:dyDescent="0.3">
      <c r="B36" s="58" t="s">
        <v>158</v>
      </c>
      <c r="C36" s="59"/>
      <c r="D36" s="54" t="s">
        <v>88</v>
      </c>
      <c r="E36" s="54" t="s">
        <v>73</v>
      </c>
      <c r="F36" s="61">
        <v>469000</v>
      </c>
      <c r="G36" s="69">
        <v>84</v>
      </c>
      <c r="H36" s="32">
        <v>39396000</v>
      </c>
      <c r="I36" s="63">
        <v>1575840</v>
      </c>
      <c r="J36" s="64"/>
      <c r="K36" s="65"/>
      <c r="L36" s="66"/>
      <c r="M36" s="66"/>
      <c r="N36" s="66"/>
      <c r="O36" s="66"/>
      <c r="P36" s="66"/>
      <c r="Q36" s="66"/>
      <c r="R36" s="66"/>
      <c r="S36" s="66"/>
      <c r="T36" s="66"/>
      <c r="U36" s="67"/>
      <c r="V36" s="68"/>
      <c r="W36" s="60"/>
      <c r="X36" s="60"/>
    </row>
    <row r="37" spans="2:27" s="57" customFormat="1" ht="57.6" x14ac:dyDescent="0.3">
      <c r="B37" s="104" t="s">
        <v>182</v>
      </c>
      <c r="C37" s="59"/>
      <c r="D37" s="54" t="s">
        <v>88</v>
      </c>
      <c r="E37" s="54" t="s">
        <v>73</v>
      </c>
      <c r="F37" s="61">
        <v>1</v>
      </c>
      <c r="G37" s="69">
        <v>4510.79</v>
      </c>
      <c r="H37" s="134">
        <v>4510.79</v>
      </c>
      <c r="I37" s="63">
        <v>180.4316</v>
      </c>
      <c r="J37" s="64"/>
      <c r="K37" s="65"/>
      <c r="L37" s="66"/>
      <c r="M37" s="66"/>
      <c r="N37" s="66"/>
      <c r="O37" s="66"/>
      <c r="P37" s="66"/>
      <c r="Q37" s="66"/>
      <c r="R37" s="66"/>
      <c r="S37" s="66"/>
      <c r="T37" s="66"/>
      <c r="U37" s="67"/>
      <c r="V37" s="68"/>
      <c r="W37" s="60"/>
      <c r="X37" s="60"/>
    </row>
    <row r="38" spans="2:27" s="57" customFormat="1" ht="57.6" x14ac:dyDescent="0.3">
      <c r="B38" s="104" t="s">
        <v>183</v>
      </c>
      <c r="C38" s="59"/>
      <c r="D38" s="54" t="s">
        <v>88</v>
      </c>
      <c r="E38" s="54" t="s">
        <v>73</v>
      </c>
      <c r="F38" s="61">
        <v>1</v>
      </c>
      <c r="G38" s="69">
        <v>4510.79</v>
      </c>
      <c r="H38" s="134">
        <v>4510.79</v>
      </c>
      <c r="I38" s="63">
        <v>180.4316</v>
      </c>
      <c r="J38" s="64"/>
      <c r="K38" s="65"/>
      <c r="L38" s="66"/>
      <c r="M38" s="66"/>
      <c r="N38" s="66"/>
      <c r="O38" s="66"/>
      <c r="P38" s="66"/>
      <c r="Q38" s="66"/>
      <c r="R38" s="66"/>
      <c r="S38" s="66"/>
      <c r="T38" s="66"/>
      <c r="U38" s="67"/>
      <c r="V38" s="68"/>
      <c r="W38" s="60"/>
      <c r="X38" s="60"/>
    </row>
    <row r="39" spans="2:27" s="57" customFormat="1" ht="86.4" x14ac:dyDescent="0.3">
      <c r="B39" s="104" t="s">
        <v>184</v>
      </c>
      <c r="C39" s="59"/>
      <c r="D39" s="54" t="s">
        <v>88</v>
      </c>
      <c r="E39" s="54" t="s">
        <v>73</v>
      </c>
      <c r="F39" s="61">
        <v>1</v>
      </c>
      <c r="G39" s="69">
        <v>4511.7700000000004</v>
      </c>
      <c r="H39" s="134">
        <v>4511.7700000000004</v>
      </c>
      <c r="I39" s="63">
        <v>180.47080000000003</v>
      </c>
      <c r="J39" s="64"/>
      <c r="K39" s="65"/>
      <c r="L39" s="66"/>
      <c r="M39" s="66"/>
      <c r="N39" s="66"/>
      <c r="O39" s="66"/>
      <c r="P39" s="66"/>
      <c r="Q39" s="66"/>
      <c r="R39" s="66"/>
      <c r="S39" s="66"/>
      <c r="T39" s="66"/>
      <c r="U39" s="67"/>
      <c r="V39" s="68"/>
      <c r="W39" s="60"/>
      <c r="X39" s="60"/>
    </row>
    <row r="40" spans="2:27" s="57" customFormat="1" ht="86.4" x14ac:dyDescent="0.3">
      <c r="B40" s="104" t="s">
        <v>184</v>
      </c>
      <c r="C40" s="59"/>
      <c r="D40" s="54" t="s">
        <v>88</v>
      </c>
      <c r="E40" s="54" t="s">
        <v>73</v>
      </c>
      <c r="F40" s="61">
        <v>1</v>
      </c>
      <c r="G40" s="69">
        <v>4511.7700000000004</v>
      </c>
      <c r="H40" s="134">
        <v>4511.7700000000004</v>
      </c>
      <c r="I40" s="63">
        <v>180.47080000000003</v>
      </c>
      <c r="J40" s="64"/>
      <c r="K40" s="65"/>
      <c r="L40" s="66"/>
      <c r="M40" s="66"/>
      <c r="N40" s="66"/>
      <c r="O40" s="66"/>
      <c r="P40" s="66"/>
      <c r="Q40" s="66"/>
      <c r="R40" s="66"/>
      <c r="S40" s="66"/>
      <c r="T40" s="66"/>
      <c r="U40" s="67"/>
      <c r="V40" s="68"/>
      <c r="W40" s="60"/>
      <c r="X40" s="60"/>
    </row>
    <row r="41" spans="2:27" s="57" customFormat="1" ht="57.6" x14ac:dyDescent="0.3">
      <c r="B41" s="104" t="s">
        <v>164</v>
      </c>
      <c r="C41" s="59"/>
      <c r="D41" s="128" t="s">
        <v>175</v>
      </c>
      <c r="E41" s="54" t="s">
        <v>127</v>
      </c>
      <c r="F41" s="61">
        <v>323</v>
      </c>
      <c r="G41" s="69">
        <v>710</v>
      </c>
      <c r="H41" s="170">
        <v>263729.5</v>
      </c>
      <c r="I41" s="63">
        <v>10619.22</v>
      </c>
      <c r="J41" s="64"/>
      <c r="K41" s="65"/>
      <c r="L41" s="66"/>
      <c r="M41" s="66"/>
      <c r="N41" s="66"/>
      <c r="O41" s="66"/>
      <c r="P41" s="66"/>
      <c r="Q41" s="66"/>
      <c r="R41" s="66"/>
      <c r="S41" s="66"/>
      <c r="T41" s="66"/>
      <c r="U41" s="67"/>
      <c r="V41" s="68"/>
      <c r="W41" s="60"/>
      <c r="X41" s="60"/>
      <c r="Z41" s="166"/>
      <c r="AA41" s="166"/>
    </row>
    <row r="42" spans="2:27" s="57" customFormat="1" ht="57.6" x14ac:dyDescent="0.2">
      <c r="B42" s="104" t="s">
        <v>165</v>
      </c>
      <c r="C42" s="59"/>
      <c r="D42" s="128" t="s">
        <v>175</v>
      </c>
      <c r="E42" s="54" t="s">
        <v>127</v>
      </c>
      <c r="F42" s="61">
        <v>14</v>
      </c>
      <c r="G42" s="69">
        <v>2450</v>
      </c>
      <c r="H42" s="170">
        <v>39445</v>
      </c>
      <c r="I42" s="63">
        <v>1588.28</v>
      </c>
      <c r="J42" s="64"/>
      <c r="K42" s="65"/>
      <c r="L42" s="66"/>
      <c r="M42" s="66"/>
      <c r="N42" s="66"/>
      <c r="O42" s="66"/>
      <c r="P42" s="66"/>
      <c r="Q42" s="66"/>
      <c r="R42" s="66"/>
      <c r="S42" s="66"/>
      <c r="T42" s="66"/>
      <c r="U42" s="67"/>
      <c r="V42" s="68"/>
      <c r="W42" s="60"/>
      <c r="X42" s="60"/>
      <c r="Z42" s="149"/>
      <c r="AA42" s="149"/>
    </row>
    <row r="43" spans="2:27" s="57" customFormat="1" ht="28.8" x14ac:dyDescent="0.3">
      <c r="B43" s="104" t="s">
        <v>166</v>
      </c>
      <c r="C43" s="59"/>
      <c r="D43" s="128" t="s">
        <v>175</v>
      </c>
      <c r="E43" s="54" t="s">
        <v>127</v>
      </c>
      <c r="F43" s="61">
        <v>2</v>
      </c>
      <c r="G43" s="69">
        <v>4152.6099999999997</v>
      </c>
      <c r="H43" s="170">
        <v>9551</v>
      </c>
      <c r="I43" s="63">
        <v>384.58</v>
      </c>
      <c r="J43" s="64"/>
      <c r="K43" s="65"/>
      <c r="L43" s="66"/>
      <c r="M43" s="66"/>
      <c r="N43" s="66"/>
      <c r="O43" s="66"/>
      <c r="P43" s="66"/>
      <c r="Q43" s="66"/>
      <c r="R43" s="66"/>
      <c r="S43" s="66"/>
      <c r="T43" s="66"/>
      <c r="U43" s="67"/>
      <c r="V43" s="68"/>
      <c r="W43" s="60"/>
      <c r="X43" s="60"/>
      <c r="Z43" s="167"/>
      <c r="AA43" s="167"/>
    </row>
    <row r="44" spans="2:27" s="57" customFormat="1" ht="57.6" x14ac:dyDescent="0.3">
      <c r="B44" s="104" t="s">
        <v>167</v>
      </c>
      <c r="C44" s="59"/>
      <c r="D44" s="128" t="s">
        <v>175</v>
      </c>
      <c r="E44" s="54" t="s">
        <v>127</v>
      </c>
      <c r="F44" s="61">
        <v>24768</v>
      </c>
      <c r="G44" s="69">
        <v>37.51</v>
      </c>
      <c r="H44" s="170">
        <v>932155.68</v>
      </c>
      <c r="I44" s="63">
        <v>37533.800000000003</v>
      </c>
      <c r="J44" s="64"/>
      <c r="K44" s="65"/>
      <c r="L44" s="66"/>
      <c r="M44" s="66"/>
      <c r="N44" s="66"/>
      <c r="O44" s="66"/>
      <c r="P44" s="66"/>
      <c r="Q44" s="66"/>
      <c r="R44" s="66"/>
      <c r="S44" s="66"/>
      <c r="T44" s="66"/>
      <c r="U44" s="67"/>
      <c r="V44" s="68"/>
      <c r="W44" s="60"/>
      <c r="X44" s="60"/>
    </row>
    <row r="45" spans="2:27" s="57" customFormat="1" ht="57.6" x14ac:dyDescent="0.3">
      <c r="B45" s="104" t="s">
        <v>168</v>
      </c>
      <c r="C45" s="59"/>
      <c r="D45" s="128" t="s">
        <v>175</v>
      </c>
      <c r="E45" s="54" t="s">
        <v>127</v>
      </c>
      <c r="F45" s="61">
        <v>25344</v>
      </c>
      <c r="G45" s="69">
        <v>37.51</v>
      </c>
      <c r="H45" s="170">
        <v>952555.44</v>
      </c>
      <c r="I45" s="63">
        <v>38355.21</v>
      </c>
      <c r="J45" s="64"/>
      <c r="K45" s="65"/>
      <c r="L45" s="66"/>
      <c r="M45" s="66"/>
      <c r="N45" s="66"/>
      <c r="O45" s="66"/>
      <c r="P45" s="66"/>
      <c r="Q45" s="66"/>
      <c r="R45" s="66"/>
      <c r="S45" s="66"/>
      <c r="T45" s="66"/>
      <c r="U45" s="67"/>
      <c r="V45" s="68"/>
      <c r="W45" s="60"/>
      <c r="X45" s="60"/>
    </row>
    <row r="46" spans="2:27" s="57" customFormat="1" ht="57.6" x14ac:dyDescent="0.3">
      <c r="B46" s="104" t="s">
        <v>169</v>
      </c>
      <c r="C46" s="59"/>
      <c r="D46" s="128" t="s">
        <v>175</v>
      </c>
      <c r="E46" s="54" t="s">
        <v>127</v>
      </c>
      <c r="F46" s="61">
        <v>3780</v>
      </c>
      <c r="G46" s="69">
        <v>80</v>
      </c>
      <c r="H46" s="170">
        <v>302400</v>
      </c>
      <c r="I46" s="63">
        <v>12202.5</v>
      </c>
      <c r="J46" s="64"/>
      <c r="K46" s="65"/>
      <c r="L46" s="66"/>
      <c r="M46" s="66"/>
      <c r="N46" s="66"/>
      <c r="O46" s="66"/>
      <c r="P46" s="66"/>
      <c r="Q46" s="66"/>
      <c r="R46" s="66"/>
      <c r="S46" s="66"/>
      <c r="T46" s="66"/>
      <c r="U46" s="67"/>
      <c r="V46" s="68"/>
      <c r="W46" s="60"/>
      <c r="X46" s="60"/>
    </row>
    <row r="47" spans="2:27" s="57" customFormat="1" ht="57.6" x14ac:dyDescent="0.3">
      <c r="B47" s="104" t="s">
        <v>169</v>
      </c>
      <c r="C47" s="59"/>
      <c r="D47" s="128" t="s">
        <v>175</v>
      </c>
      <c r="E47" s="54" t="s">
        <v>127</v>
      </c>
      <c r="F47" s="61">
        <v>500</v>
      </c>
      <c r="G47" s="69">
        <v>80</v>
      </c>
      <c r="H47" s="170">
        <v>40000</v>
      </c>
      <c r="I47" s="63">
        <v>1614.09</v>
      </c>
      <c r="J47" s="64"/>
      <c r="K47" s="65"/>
      <c r="L47" s="66"/>
      <c r="M47" s="66"/>
      <c r="N47" s="66"/>
      <c r="O47" s="66"/>
      <c r="P47" s="66"/>
      <c r="Q47" s="66"/>
      <c r="R47" s="66"/>
      <c r="S47" s="66"/>
      <c r="T47" s="66"/>
      <c r="U47" s="67"/>
      <c r="V47" s="68"/>
      <c r="W47" s="60"/>
      <c r="X47" s="60"/>
    </row>
    <row r="48" spans="2:27" s="57" customFormat="1" ht="57.6" x14ac:dyDescent="0.3">
      <c r="B48" s="104" t="s">
        <v>169</v>
      </c>
      <c r="C48" s="59"/>
      <c r="D48" s="128" t="s">
        <v>175</v>
      </c>
      <c r="E48" s="54" t="s">
        <v>127</v>
      </c>
      <c r="F48" s="61">
        <v>3280</v>
      </c>
      <c r="G48" s="69">
        <v>80</v>
      </c>
      <c r="H48" s="170">
        <v>262400</v>
      </c>
      <c r="I48" s="63">
        <v>10588.42</v>
      </c>
      <c r="J48" s="64"/>
      <c r="K48" s="65"/>
      <c r="L48" s="66"/>
      <c r="M48" s="66"/>
      <c r="N48" s="66"/>
      <c r="O48" s="66"/>
      <c r="P48" s="66"/>
      <c r="Q48" s="66"/>
      <c r="R48" s="66"/>
      <c r="S48" s="66"/>
      <c r="T48" s="66"/>
      <c r="U48" s="67"/>
      <c r="V48" s="68"/>
      <c r="W48" s="60"/>
      <c r="X48" s="60"/>
    </row>
    <row r="49" spans="2:25" s="57" customFormat="1" ht="28.8" x14ac:dyDescent="0.3">
      <c r="B49" s="104" t="s">
        <v>170</v>
      </c>
      <c r="C49" s="59"/>
      <c r="D49" s="128" t="s">
        <v>175</v>
      </c>
      <c r="E49" s="54" t="s">
        <v>127</v>
      </c>
      <c r="F49" s="61">
        <v>117391</v>
      </c>
      <c r="G49" s="69">
        <v>2</v>
      </c>
      <c r="H49" s="170">
        <v>234782</v>
      </c>
      <c r="I49" s="63">
        <v>9473.9699999999993</v>
      </c>
      <c r="J49" s="64"/>
      <c r="K49" s="65"/>
      <c r="L49" s="66"/>
      <c r="M49" s="66"/>
      <c r="N49" s="66"/>
      <c r="O49" s="66"/>
      <c r="P49" s="66"/>
      <c r="Q49" s="66"/>
      <c r="R49" s="66"/>
      <c r="S49" s="66"/>
      <c r="T49" s="66"/>
      <c r="U49" s="67"/>
      <c r="V49" s="68"/>
      <c r="W49" s="60"/>
      <c r="X49" s="60"/>
    </row>
    <row r="50" spans="2:25" s="57" customFormat="1" ht="28.8" x14ac:dyDescent="0.3">
      <c r="B50" s="104" t="s">
        <v>171</v>
      </c>
      <c r="C50" s="59"/>
      <c r="D50" s="128" t="s">
        <v>175</v>
      </c>
      <c r="E50" s="54" t="s">
        <v>127</v>
      </c>
      <c r="F50" s="61">
        <v>1000</v>
      </c>
      <c r="G50" s="69">
        <v>90</v>
      </c>
      <c r="H50" s="170">
        <v>90000</v>
      </c>
      <c r="I50" s="63">
        <v>3631.7</v>
      </c>
      <c r="J50" s="64"/>
      <c r="K50" s="65"/>
      <c r="L50" s="66"/>
      <c r="M50" s="66"/>
      <c r="N50" s="66"/>
      <c r="O50" s="66"/>
      <c r="P50" s="66"/>
      <c r="Q50" s="66"/>
      <c r="R50" s="66"/>
      <c r="S50" s="66"/>
      <c r="T50" s="66"/>
      <c r="U50" s="67"/>
      <c r="V50" s="68"/>
      <c r="W50" s="60"/>
      <c r="X50" s="60"/>
    </row>
    <row r="51" spans="2:25" s="57" customFormat="1" ht="28.8" x14ac:dyDescent="0.3">
      <c r="B51" s="104" t="s">
        <v>172</v>
      </c>
      <c r="C51" s="59"/>
      <c r="D51" s="128" t="s">
        <v>175</v>
      </c>
      <c r="E51" s="54" t="s">
        <v>127</v>
      </c>
      <c r="F51" s="61">
        <v>8000</v>
      </c>
      <c r="G51" s="69">
        <v>85</v>
      </c>
      <c r="H51" s="170">
        <v>680000</v>
      </c>
      <c r="I51" s="63">
        <v>27439.49</v>
      </c>
      <c r="J51" s="64"/>
      <c r="K51" s="65"/>
      <c r="L51" s="66"/>
      <c r="M51" s="66"/>
      <c r="N51" s="66"/>
      <c r="O51" s="66"/>
      <c r="P51" s="66"/>
      <c r="Q51" s="66"/>
      <c r="R51" s="66"/>
      <c r="S51" s="66"/>
      <c r="T51" s="66"/>
      <c r="U51" s="67"/>
      <c r="V51" s="68"/>
      <c r="W51" s="60"/>
      <c r="X51" s="60"/>
    </row>
    <row r="52" spans="2:25" s="57" customFormat="1" ht="28.8" x14ac:dyDescent="0.3">
      <c r="B52" s="104" t="s">
        <v>173</v>
      </c>
      <c r="C52" s="59"/>
      <c r="D52" s="128" t="s">
        <v>175</v>
      </c>
      <c r="E52" s="54" t="s">
        <v>127</v>
      </c>
      <c r="F52" s="61">
        <v>2000</v>
      </c>
      <c r="G52" s="69">
        <v>100</v>
      </c>
      <c r="H52" s="170">
        <v>200000</v>
      </c>
      <c r="I52" s="63">
        <v>8070.44</v>
      </c>
      <c r="J52" s="64"/>
      <c r="K52" s="65"/>
      <c r="L52" s="66"/>
      <c r="M52" s="66"/>
      <c r="N52" s="66"/>
      <c r="O52" s="66"/>
      <c r="P52" s="66"/>
      <c r="Q52" s="66"/>
      <c r="R52" s="66"/>
      <c r="S52" s="66"/>
      <c r="T52" s="66"/>
      <c r="U52" s="67"/>
      <c r="V52" s="68"/>
      <c r="W52" s="60"/>
      <c r="X52" s="60"/>
    </row>
    <row r="53" spans="2:25" s="57" customFormat="1" ht="28.8" x14ac:dyDescent="0.3">
      <c r="B53" s="104" t="s">
        <v>174</v>
      </c>
      <c r="C53" s="59"/>
      <c r="D53" s="128" t="s">
        <v>175</v>
      </c>
      <c r="E53" s="54" t="s">
        <v>127</v>
      </c>
      <c r="F53" s="61">
        <v>3000</v>
      </c>
      <c r="G53" s="69">
        <v>250</v>
      </c>
      <c r="H53" s="170">
        <v>750000</v>
      </c>
      <c r="I53" s="63">
        <v>30264.15</v>
      </c>
      <c r="J53" s="64"/>
      <c r="K53" s="65"/>
      <c r="L53" s="66"/>
      <c r="M53" s="66"/>
      <c r="N53" s="66"/>
      <c r="O53" s="66"/>
      <c r="P53" s="66"/>
      <c r="Q53" s="66"/>
      <c r="R53" s="66"/>
      <c r="S53" s="66"/>
      <c r="T53" s="66"/>
      <c r="U53" s="67"/>
      <c r="V53" s="68"/>
      <c r="W53" s="60"/>
      <c r="X53" s="60"/>
    </row>
    <row r="54" spans="2:25" s="57" customFormat="1" hidden="1" x14ac:dyDescent="0.3">
      <c r="B54" s="58"/>
      <c r="C54" s="59"/>
      <c r="D54" s="54"/>
      <c r="E54" s="54"/>
      <c r="F54" s="61"/>
      <c r="G54" s="69"/>
      <c r="H54" s="171"/>
      <c r="I54" s="127"/>
      <c r="J54" s="64"/>
      <c r="K54" s="65"/>
      <c r="L54" s="66"/>
      <c r="M54" s="66"/>
      <c r="N54" s="66"/>
      <c r="O54" s="66"/>
      <c r="P54" s="66"/>
      <c r="Q54" s="66"/>
      <c r="R54" s="66"/>
      <c r="S54" s="66"/>
      <c r="T54" s="66"/>
      <c r="U54" s="67"/>
      <c r="V54" s="68"/>
      <c r="W54" s="60"/>
      <c r="X54" s="60"/>
    </row>
    <row r="55" spans="2:25" s="57" customFormat="1" ht="43.2" x14ac:dyDescent="0.2">
      <c r="B55" s="104" t="s">
        <v>177</v>
      </c>
      <c r="C55" s="59"/>
      <c r="D55" s="128" t="s">
        <v>175</v>
      </c>
      <c r="E55" s="54" t="s">
        <v>127</v>
      </c>
      <c r="F55" s="61">
        <v>22000</v>
      </c>
      <c r="G55" s="69">
        <v>4.5</v>
      </c>
      <c r="H55" s="171">
        <v>113850</v>
      </c>
      <c r="I55" s="127">
        <v>4584.237631416825</v>
      </c>
      <c r="J55" s="64"/>
      <c r="K55" s="65"/>
      <c r="L55" s="66"/>
      <c r="M55" s="66"/>
      <c r="N55" s="66"/>
      <c r="O55" s="66"/>
      <c r="P55" s="66"/>
      <c r="Q55" s="66"/>
      <c r="R55" s="66"/>
      <c r="S55" s="66"/>
      <c r="T55" s="66"/>
      <c r="U55" s="67"/>
      <c r="V55" s="68"/>
      <c r="W55" s="60"/>
      <c r="X55" s="60"/>
      <c r="Y55" s="168">
        <v>232875</v>
      </c>
    </row>
    <row r="56" spans="2:25" s="57" customFormat="1" ht="57.6" x14ac:dyDescent="0.3">
      <c r="B56" s="104" t="s">
        <v>179</v>
      </c>
      <c r="C56" s="59"/>
      <c r="D56" s="128" t="s">
        <v>175</v>
      </c>
      <c r="E56" s="54" t="s">
        <v>127</v>
      </c>
      <c r="F56" s="129">
        <v>3456</v>
      </c>
      <c r="G56" s="130">
        <v>50</v>
      </c>
      <c r="H56" s="130">
        <f t="shared" ref="H56" si="9">F56*G56</f>
        <v>172800</v>
      </c>
      <c r="I56" s="131">
        <f>H56/24.8351</f>
        <v>6957.8942706089365</v>
      </c>
      <c r="J56" s="64"/>
      <c r="K56" s="65"/>
      <c r="L56" s="66"/>
      <c r="M56" s="66"/>
      <c r="N56" s="66"/>
      <c r="O56" s="66"/>
      <c r="P56" s="66"/>
      <c r="Q56" s="66"/>
      <c r="R56" s="66"/>
      <c r="S56" s="66"/>
      <c r="T56" s="66"/>
      <c r="U56" s="67"/>
      <c r="V56" s="68"/>
      <c r="W56" s="60"/>
      <c r="X56" s="60"/>
    </row>
    <row r="57" spans="2:25" s="57" customFormat="1" ht="72" x14ac:dyDescent="0.3">
      <c r="B57" s="104" t="s">
        <v>180</v>
      </c>
      <c r="C57" s="59"/>
      <c r="D57" s="128" t="s">
        <v>175</v>
      </c>
      <c r="E57" s="54" t="s">
        <v>127</v>
      </c>
      <c r="F57" s="129">
        <v>5000</v>
      </c>
      <c r="G57" s="130">
        <v>95</v>
      </c>
      <c r="H57" s="130">
        <f>F57*G57</f>
        <v>475000</v>
      </c>
      <c r="I57" s="131">
        <f>H57/24.8351</f>
        <v>19126.156125805814</v>
      </c>
      <c r="J57" s="64"/>
      <c r="K57" s="65"/>
      <c r="L57" s="66"/>
      <c r="M57" s="66"/>
      <c r="N57" s="66"/>
      <c r="O57" s="66"/>
      <c r="P57" s="66"/>
      <c r="Q57" s="66"/>
      <c r="R57" s="66"/>
      <c r="S57" s="66"/>
      <c r="T57" s="66"/>
      <c r="U57" s="67"/>
      <c r="V57" s="68"/>
      <c r="W57" s="60"/>
      <c r="X57" s="60"/>
    </row>
    <row r="58" spans="2:25" s="57" customFormat="1" ht="72" x14ac:dyDescent="0.3">
      <c r="B58" s="104" t="s">
        <v>181</v>
      </c>
      <c r="C58" s="59"/>
      <c r="D58" s="128" t="s">
        <v>175</v>
      </c>
      <c r="E58" s="54" t="s">
        <v>127</v>
      </c>
      <c r="F58" s="129">
        <v>7060</v>
      </c>
      <c r="G58" s="132">
        <v>50</v>
      </c>
      <c r="H58" s="130">
        <v>353000</v>
      </c>
      <c r="I58" s="133">
        <v>14213.753920862006</v>
      </c>
      <c r="J58" s="64"/>
      <c r="K58" s="65"/>
      <c r="L58" s="66"/>
      <c r="M58" s="66"/>
      <c r="N58" s="66"/>
      <c r="O58" s="66"/>
      <c r="P58" s="66"/>
      <c r="Q58" s="66"/>
      <c r="R58" s="66"/>
      <c r="S58" s="66"/>
      <c r="T58" s="66"/>
      <c r="U58" s="67"/>
      <c r="V58" s="68"/>
      <c r="W58" s="60"/>
      <c r="X58" s="60"/>
    </row>
    <row r="59" spans="2:25" s="57" customFormat="1" ht="72" x14ac:dyDescent="0.3">
      <c r="B59" s="104" t="s">
        <v>186</v>
      </c>
      <c r="C59" s="59"/>
      <c r="D59" s="128" t="s">
        <v>175</v>
      </c>
      <c r="E59" s="54" t="s">
        <v>127</v>
      </c>
      <c r="F59" s="129">
        <v>10368</v>
      </c>
      <c r="G59" s="132">
        <v>50</v>
      </c>
      <c r="H59" s="130">
        <v>518400</v>
      </c>
      <c r="I59" s="133">
        <v>20873.682811826809</v>
      </c>
      <c r="J59" s="64"/>
      <c r="K59" s="65"/>
      <c r="L59" s="66"/>
      <c r="M59" s="66"/>
      <c r="N59" s="66"/>
      <c r="O59" s="66"/>
      <c r="P59" s="66"/>
      <c r="Q59" s="66"/>
      <c r="R59" s="66"/>
      <c r="S59" s="66"/>
      <c r="T59" s="66"/>
      <c r="U59" s="67"/>
      <c r="V59" s="68"/>
      <c r="W59" s="60"/>
      <c r="X59" s="60"/>
    </row>
    <row r="60" spans="2:25" s="57" customFormat="1" ht="72" x14ac:dyDescent="0.3">
      <c r="B60" s="104" t="s">
        <v>187</v>
      </c>
      <c r="C60" s="59"/>
      <c r="D60" s="128" t="s">
        <v>175</v>
      </c>
      <c r="E60" s="54" t="s">
        <v>127</v>
      </c>
      <c r="F60" s="129">
        <v>3000</v>
      </c>
      <c r="G60" s="132">
        <v>87.5</v>
      </c>
      <c r="H60" s="130">
        <v>262500</v>
      </c>
      <c r="I60" s="133">
        <v>10569.71785899795</v>
      </c>
      <c r="J60" s="64"/>
      <c r="K60" s="65"/>
      <c r="L60" s="66"/>
      <c r="M60" s="66"/>
      <c r="N60" s="66"/>
      <c r="O60" s="66"/>
      <c r="P60" s="66"/>
      <c r="Q60" s="66"/>
      <c r="R60" s="66"/>
      <c r="S60" s="66"/>
      <c r="T60" s="66"/>
      <c r="U60" s="67"/>
      <c r="V60" s="68"/>
      <c r="W60" s="60"/>
      <c r="X60" s="60"/>
    </row>
    <row r="61" spans="2:25" ht="72" x14ac:dyDescent="0.3">
      <c r="B61" s="145" t="s">
        <v>188</v>
      </c>
      <c r="C61" s="146">
        <v>13</v>
      </c>
      <c r="D61" s="128" t="s">
        <v>175</v>
      </c>
      <c r="E61" s="54" t="s">
        <v>127</v>
      </c>
      <c r="F61" s="146">
        <v>127216</v>
      </c>
      <c r="G61" s="147">
        <v>59</v>
      </c>
      <c r="H61" s="147">
        <f t="shared" ref="H61:H65" si="10">F61*G61</f>
        <v>7505744</v>
      </c>
      <c r="I61" s="148">
        <f>H61/24.8351</f>
        <v>302223.22438806365</v>
      </c>
    </row>
    <row r="62" spans="2:25" ht="57.6" x14ac:dyDescent="0.3">
      <c r="B62" s="145" t="s">
        <v>189</v>
      </c>
      <c r="C62" s="146">
        <v>13</v>
      </c>
      <c r="D62" s="128" t="s">
        <v>175</v>
      </c>
      <c r="E62" s="54" t="s">
        <v>127</v>
      </c>
      <c r="F62" s="146">
        <v>2400</v>
      </c>
      <c r="G62" s="147">
        <v>175</v>
      </c>
      <c r="H62" s="147">
        <f t="shared" si="10"/>
        <v>420000</v>
      </c>
      <c r="I62" s="148">
        <f>H62/24.8351</f>
        <v>16911.548574396722</v>
      </c>
    </row>
    <row r="63" spans="2:25" ht="57.6" x14ac:dyDescent="0.3">
      <c r="B63" s="145" t="s">
        <v>190</v>
      </c>
      <c r="C63" s="146">
        <v>13</v>
      </c>
      <c r="D63" s="128" t="s">
        <v>175</v>
      </c>
      <c r="E63" s="54" t="s">
        <v>127</v>
      </c>
      <c r="F63" s="146">
        <v>234000</v>
      </c>
      <c r="G63" s="147">
        <v>1.49</v>
      </c>
      <c r="H63" s="147">
        <f t="shared" si="10"/>
        <v>348660</v>
      </c>
      <c r="I63" s="148">
        <f t="shared" ref="I63:I65" si="11">H63/24.8351</f>
        <v>14039.001252259906</v>
      </c>
    </row>
    <row r="64" spans="2:25" ht="57.6" x14ac:dyDescent="0.3">
      <c r="B64" s="145" t="s">
        <v>191</v>
      </c>
      <c r="C64" s="146">
        <v>13</v>
      </c>
      <c r="D64" s="128" t="s">
        <v>175</v>
      </c>
      <c r="E64" s="54" t="s">
        <v>127</v>
      </c>
      <c r="F64" s="146">
        <v>348000</v>
      </c>
      <c r="G64" s="147">
        <v>4.4400000000000004</v>
      </c>
      <c r="H64" s="147">
        <f t="shared" si="10"/>
        <v>1545120.0000000002</v>
      </c>
      <c r="I64" s="148">
        <f t="shared" si="11"/>
        <v>62215.171269694918</v>
      </c>
    </row>
    <row r="65" spans="2:24" ht="57.6" x14ac:dyDescent="0.3">
      <c r="B65" s="145" t="s">
        <v>192</v>
      </c>
      <c r="C65" s="146">
        <v>13</v>
      </c>
      <c r="D65" s="128" t="s">
        <v>175</v>
      </c>
      <c r="E65" s="54" t="s">
        <v>127</v>
      </c>
      <c r="F65" s="146">
        <v>100</v>
      </c>
      <c r="G65" s="147">
        <v>749.44</v>
      </c>
      <c r="H65" s="147">
        <f t="shared" si="10"/>
        <v>74944</v>
      </c>
      <c r="I65" s="148">
        <f t="shared" si="11"/>
        <v>3017.6645151418757</v>
      </c>
    </row>
    <row r="66" spans="2:24" ht="72" x14ac:dyDescent="0.3">
      <c r="B66" s="145" t="s">
        <v>194</v>
      </c>
      <c r="C66" s="146"/>
      <c r="D66" s="128" t="s">
        <v>175</v>
      </c>
      <c r="E66" s="54" t="s">
        <v>127</v>
      </c>
      <c r="F66" s="146">
        <v>3000</v>
      </c>
      <c r="G66" s="147">
        <v>87.5</v>
      </c>
      <c r="H66" s="147">
        <v>262500</v>
      </c>
      <c r="I66" s="148">
        <v>10569.71785899795</v>
      </c>
    </row>
    <row r="67" spans="2:24" s="57" customFormat="1" ht="43.2" x14ac:dyDescent="0.3">
      <c r="B67" s="104" t="s">
        <v>178</v>
      </c>
      <c r="C67" s="59"/>
      <c r="D67" s="128" t="s">
        <v>175</v>
      </c>
      <c r="E67" s="54" t="s">
        <v>127</v>
      </c>
      <c r="F67" s="61">
        <v>27000</v>
      </c>
      <c r="G67" s="69">
        <v>7.5</v>
      </c>
      <c r="H67" s="32">
        <v>232875</v>
      </c>
      <c r="I67" s="127">
        <v>9376.8497006253237</v>
      </c>
      <c r="J67" s="64"/>
      <c r="K67" s="65"/>
      <c r="L67" s="66"/>
      <c r="M67" s="66"/>
      <c r="N67" s="66"/>
      <c r="O67" s="66"/>
      <c r="P67" s="66"/>
      <c r="Q67" s="66"/>
      <c r="R67" s="66"/>
      <c r="S67" s="66"/>
      <c r="T67" s="66"/>
      <c r="U67" s="67"/>
      <c r="V67" s="68"/>
      <c r="W67" s="60"/>
      <c r="X67" s="60"/>
    </row>
    <row r="68" spans="2:24" s="1" customFormat="1" x14ac:dyDescent="0.3">
      <c r="B68" s="39" t="s">
        <v>45</v>
      </c>
      <c r="C68" s="40"/>
      <c r="D68" s="41"/>
      <c r="E68" s="41"/>
      <c r="F68" s="42"/>
      <c r="G68" s="43"/>
      <c r="H68" s="43">
        <f>SUM(H69:H148)</f>
        <v>144009796.21022001</v>
      </c>
      <c r="I68" s="165">
        <f>SUM(I69:I148)</f>
        <v>5814988.4386119079</v>
      </c>
      <c r="J68" s="45"/>
      <c r="K68" s="46"/>
      <c r="L68" s="47">
        <f t="shared" ref="L68:T68" si="12">SUM(L69:L94)</f>
        <v>61859812.672200002</v>
      </c>
      <c r="M68" s="47">
        <f t="shared" si="0"/>
        <v>2474392.5068880003</v>
      </c>
      <c r="N68" s="47">
        <f t="shared" si="12"/>
        <v>0</v>
      </c>
      <c r="O68" s="47">
        <f t="shared" si="12"/>
        <v>331446.12653466669</v>
      </c>
      <c r="P68" s="47">
        <f t="shared" si="12"/>
        <v>331446.12653466669</v>
      </c>
      <c r="Q68" s="47">
        <f t="shared" si="12"/>
        <v>433702.07341466658</v>
      </c>
      <c r="R68" s="47">
        <f t="shared" si="12"/>
        <v>305882.13981466665</v>
      </c>
      <c r="S68" s="47">
        <f t="shared" si="12"/>
        <v>305882.13981466665</v>
      </c>
      <c r="T68" s="47">
        <f t="shared" si="12"/>
        <v>305882.13981466665</v>
      </c>
      <c r="U68" s="20">
        <f t="shared" si="2"/>
        <v>460151.76096000033</v>
      </c>
      <c r="V68" s="40"/>
      <c r="W68" s="41"/>
      <c r="X68" s="41"/>
    </row>
    <row r="69" spans="2:24" s="1" customFormat="1" x14ac:dyDescent="0.3">
      <c r="B69" s="48" t="s">
        <v>46</v>
      </c>
      <c r="C69" s="29"/>
      <c r="D69" s="30" t="s">
        <v>28</v>
      </c>
      <c r="E69" s="30" t="s">
        <v>43</v>
      </c>
      <c r="F69" s="49">
        <v>4480000</v>
      </c>
      <c r="G69" s="50">
        <v>0.1283</v>
      </c>
      <c r="H69" s="32">
        <f>G69*F69</f>
        <v>574784</v>
      </c>
      <c r="I69" s="33">
        <f t="shared" si="4"/>
        <v>22991.360000000001</v>
      </c>
      <c r="J69" s="34"/>
      <c r="K69" s="35"/>
      <c r="L69" s="36">
        <f>H69</f>
        <v>574784</v>
      </c>
      <c r="M69" s="36">
        <f t="shared" si="0"/>
        <v>22991.360000000001</v>
      </c>
      <c r="N69" s="36"/>
      <c r="O69" s="36">
        <f>M69/25</f>
        <v>919.65440000000001</v>
      </c>
      <c r="P69" s="36">
        <f>O69</f>
        <v>919.65440000000001</v>
      </c>
      <c r="Q69" s="36">
        <f>M69*20%</f>
        <v>4598.2719999999999</v>
      </c>
      <c r="R69" s="36"/>
      <c r="S69" s="36"/>
      <c r="T69" s="36"/>
      <c r="U69" s="20">
        <f t="shared" si="2"/>
        <v>16553.779200000001</v>
      </c>
      <c r="V69" s="38"/>
      <c r="W69" s="30"/>
      <c r="X69" s="30"/>
    </row>
    <row r="70" spans="2:24" s="1" customFormat="1" x14ac:dyDescent="0.3">
      <c r="B70" s="48" t="s">
        <v>47</v>
      </c>
      <c r="C70" s="29"/>
      <c r="D70" s="30" t="s">
        <v>28</v>
      </c>
      <c r="E70" s="30" t="s">
        <v>43</v>
      </c>
      <c r="F70" s="49">
        <v>1120000</v>
      </c>
      <c r="G70" s="50">
        <v>9.3800000000000008</v>
      </c>
      <c r="H70" s="32">
        <f t="shared" ref="H70:H156" si="13">G70*F70</f>
        <v>10505600</v>
      </c>
      <c r="I70" s="33">
        <f t="shared" si="4"/>
        <v>420224</v>
      </c>
      <c r="J70" s="34"/>
      <c r="K70" s="35"/>
      <c r="L70" s="36">
        <f t="shared" ref="L70:L94" si="14">H70</f>
        <v>10505600</v>
      </c>
      <c r="M70" s="36">
        <f t="shared" si="0"/>
        <v>420224</v>
      </c>
      <c r="N70" s="36"/>
      <c r="O70" s="36">
        <f t="shared" ref="O70:O86" si="15">M70/25</f>
        <v>16808.96</v>
      </c>
      <c r="P70" s="36">
        <f t="shared" ref="P70:P86" si="16">O70</f>
        <v>16808.96</v>
      </c>
      <c r="Q70" s="36">
        <f t="shared" ref="Q70:Q86" si="17">M70*20%</f>
        <v>84044.800000000003</v>
      </c>
      <c r="R70" s="36"/>
      <c r="S70" s="36"/>
      <c r="T70" s="36"/>
      <c r="U70" s="20">
        <f t="shared" si="2"/>
        <v>302561.28000000003</v>
      </c>
      <c r="V70" s="38"/>
      <c r="W70" s="30"/>
      <c r="X70" s="30"/>
    </row>
    <row r="71" spans="2:24" s="1" customFormat="1" x14ac:dyDescent="0.3">
      <c r="B71" s="48" t="s">
        <v>48</v>
      </c>
      <c r="C71" s="29"/>
      <c r="D71" s="30" t="s">
        <v>28</v>
      </c>
      <c r="E71" s="30" t="s">
        <v>43</v>
      </c>
      <c r="F71" s="49">
        <v>212759</v>
      </c>
      <c r="G71" s="50">
        <v>17</v>
      </c>
      <c r="H71" s="32">
        <f t="shared" si="13"/>
        <v>3616903</v>
      </c>
      <c r="I71" s="33">
        <f t="shared" si="4"/>
        <v>144676.12</v>
      </c>
      <c r="J71" s="34"/>
      <c r="K71" s="35"/>
      <c r="L71" s="36">
        <f t="shared" si="14"/>
        <v>3616903</v>
      </c>
      <c r="M71" s="36">
        <f t="shared" si="0"/>
        <v>144676.12</v>
      </c>
      <c r="N71" s="36"/>
      <c r="O71" s="36">
        <f t="shared" ref="O71:T71" si="18">+$M$71/6</f>
        <v>24112.686666666665</v>
      </c>
      <c r="P71" s="36">
        <f t="shared" si="18"/>
        <v>24112.686666666665</v>
      </c>
      <c r="Q71" s="36">
        <f t="shared" si="18"/>
        <v>24112.686666666665</v>
      </c>
      <c r="R71" s="36">
        <f t="shared" si="18"/>
        <v>24112.686666666665</v>
      </c>
      <c r="S71" s="36">
        <f t="shared" si="18"/>
        <v>24112.686666666665</v>
      </c>
      <c r="T71" s="36">
        <f t="shared" si="18"/>
        <v>24112.686666666665</v>
      </c>
      <c r="U71" s="20">
        <f t="shared" si="2"/>
        <v>0</v>
      </c>
      <c r="V71" s="38"/>
      <c r="W71" s="30"/>
      <c r="X71" s="30"/>
    </row>
    <row r="72" spans="2:24" s="1" customFormat="1" x14ac:dyDescent="0.3">
      <c r="B72" s="48" t="s">
        <v>49</v>
      </c>
      <c r="C72" s="29"/>
      <c r="D72" s="30" t="s">
        <v>28</v>
      </c>
      <c r="E72" s="30" t="s">
        <v>43</v>
      </c>
      <c r="F72" s="49">
        <v>560000</v>
      </c>
      <c r="G72" s="50">
        <v>0.14000000000000001</v>
      </c>
      <c r="H72" s="32">
        <f t="shared" si="13"/>
        <v>78400.000000000015</v>
      </c>
      <c r="I72" s="33">
        <f t="shared" si="4"/>
        <v>3136.0000000000005</v>
      </c>
      <c r="J72" s="34"/>
      <c r="K72" s="35"/>
      <c r="L72" s="36">
        <f t="shared" si="14"/>
        <v>78400.000000000015</v>
      </c>
      <c r="M72" s="36">
        <f t="shared" si="0"/>
        <v>3136.0000000000005</v>
      </c>
      <c r="N72" s="36"/>
      <c r="O72" s="36">
        <f t="shared" si="15"/>
        <v>125.44000000000001</v>
      </c>
      <c r="P72" s="36">
        <f t="shared" si="16"/>
        <v>125.44000000000001</v>
      </c>
      <c r="Q72" s="36">
        <f t="shared" si="17"/>
        <v>627.20000000000016</v>
      </c>
      <c r="R72" s="36"/>
      <c r="S72" s="36"/>
      <c r="T72" s="36"/>
      <c r="U72" s="20">
        <f t="shared" si="2"/>
        <v>2257.92</v>
      </c>
      <c r="V72" s="38"/>
      <c r="W72" s="30"/>
      <c r="X72" s="30"/>
    </row>
    <row r="73" spans="2:24" s="1" customFormat="1" x14ac:dyDescent="0.3">
      <c r="B73" s="48" t="s">
        <v>50</v>
      </c>
      <c r="C73" s="29"/>
      <c r="D73" s="30" t="s">
        <v>28</v>
      </c>
      <c r="E73" s="30" t="s">
        <v>43</v>
      </c>
      <c r="F73" s="49">
        <v>398468</v>
      </c>
      <c r="G73" s="50">
        <v>9.23</v>
      </c>
      <c r="H73" s="32">
        <f t="shared" si="13"/>
        <v>3677859.64</v>
      </c>
      <c r="I73" s="33">
        <f t="shared" si="4"/>
        <v>147114.38560000001</v>
      </c>
      <c r="J73" s="34"/>
      <c r="K73" s="35"/>
      <c r="L73" s="36">
        <f t="shared" si="14"/>
        <v>3677859.64</v>
      </c>
      <c r="M73" s="36">
        <f t="shared" si="0"/>
        <v>147114.38560000001</v>
      </c>
      <c r="N73" s="36"/>
      <c r="O73" s="36">
        <f t="shared" ref="O73:T73" si="19">+$M$73/6</f>
        <v>24519.064266666668</v>
      </c>
      <c r="P73" s="36">
        <f t="shared" si="19"/>
        <v>24519.064266666668</v>
      </c>
      <c r="Q73" s="36">
        <f t="shared" si="19"/>
        <v>24519.064266666668</v>
      </c>
      <c r="R73" s="36">
        <f t="shared" si="19"/>
        <v>24519.064266666668</v>
      </c>
      <c r="S73" s="36">
        <f t="shared" si="19"/>
        <v>24519.064266666668</v>
      </c>
      <c r="T73" s="36">
        <f t="shared" si="19"/>
        <v>24519.064266666668</v>
      </c>
      <c r="U73" s="20">
        <f t="shared" si="2"/>
        <v>0</v>
      </c>
      <c r="V73" s="38"/>
      <c r="W73" s="30"/>
      <c r="X73" s="30"/>
    </row>
    <row r="74" spans="2:24" s="1" customFormat="1" x14ac:dyDescent="0.3">
      <c r="B74" s="48" t="s">
        <v>51</v>
      </c>
      <c r="C74" s="29"/>
      <c r="D74" s="30" t="s">
        <v>28</v>
      </c>
      <c r="E74" s="30" t="s">
        <v>43</v>
      </c>
      <c r="F74" s="49">
        <v>19890</v>
      </c>
      <c r="G74" s="50">
        <v>24.052600000000002</v>
      </c>
      <c r="H74" s="32">
        <f t="shared" si="13"/>
        <v>478406.21400000004</v>
      </c>
      <c r="I74" s="33">
        <f t="shared" si="4"/>
        <v>19136.24856</v>
      </c>
      <c r="J74" s="34"/>
      <c r="K74" s="35"/>
      <c r="L74" s="36">
        <f t="shared" si="14"/>
        <v>478406.21400000004</v>
      </c>
      <c r="M74" s="36">
        <f t="shared" si="0"/>
        <v>19136.24856</v>
      </c>
      <c r="N74" s="36"/>
      <c r="O74" s="36">
        <f t="shared" ref="O74:T74" si="20">+$M$74/6</f>
        <v>3189.3747600000002</v>
      </c>
      <c r="P74" s="36">
        <f t="shared" si="20"/>
        <v>3189.3747600000002</v>
      </c>
      <c r="Q74" s="36">
        <f t="shared" si="20"/>
        <v>3189.3747600000002</v>
      </c>
      <c r="R74" s="36">
        <f t="shared" si="20"/>
        <v>3189.3747600000002</v>
      </c>
      <c r="S74" s="36">
        <f t="shared" si="20"/>
        <v>3189.3747600000002</v>
      </c>
      <c r="T74" s="36">
        <f t="shared" si="20"/>
        <v>3189.3747600000002</v>
      </c>
      <c r="U74" s="20">
        <f t="shared" si="2"/>
        <v>0</v>
      </c>
      <c r="V74" s="38"/>
      <c r="W74" s="30"/>
      <c r="X74" s="30"/>
    </row>
    <row r="75" spans="2:24" s="1" customFormat="1" x14ac:dyDescent="0.3">
      <c r="B75" s="48" t="s">
        <v>52</v>
      </c>
      <c r="C75" s="29"/>
      <c r="D75" s="30" t="s">
        <v>28</v>
      </c>
      <c r="E75" s="30" t="s">
        <v>43</v>
      </c>
      <c r="F75" s="49">
        <v>76826</v>
      </c>
      <c r="G75" s="50">
        <v>55.870800000000003</v>
      </c>
      <c r="H75" s="32">
        <f t="shared" si="13"/>
        <v>4292330.0808000006</v>
      </c>
      <c r="I75" s="33">
        <f t="shared" si="4"/>
        <v>171693.20323200003</v>
      </c>
      <c r="J75" s="34"/>
      <c r="K75" s="35"/>
      <c r="L75" s="36">
        <f t="shared" si="14"/>
        <v>4292330.0808000006</v>
      </c>
      <c r="M75" s="36">
        <f t="shared" si="0"/>
        <v>171693.20323200003</v>
      </c>
      <c r="N75" s="36"/>
      <c r="O75" s="36">
        <f t="shared" ref="O75:T75" si="21">+$M$75/6</f>
        <v>28615.533872000004</v>
      </c>
      <c r="P75" s="36">
        <f t="shared" si="21"/>
        <v>28615.533872000004</v>
      </c>
      <c r="Q75" s="36">
        <f t="shared" si="21"/>
        <v>28615.533872000004</v>
      </c>
      <c r="R75" s="36">
        <f t="shared" si="21"/>
        <v>28615.533872000004</v>
      </c>
      <c r="S75" s="36">
        <f t="shared" si="21"/>
        <v>28615.533872000004</v>
      </c>
      <c r="T75" s="36">
        <f t="shared" si="21"/>
        <v>28615.533872000004</v>
      </c>
      <c r="U75" s="20">
        <f t="shared" si="2"/>
        <v>0</v>
      </c>
      <c r="V75" s="38"/>
      <c r="W75" s="30"/>
      <c r="X75" s="30"/>
    </row>
    <row r="76" spans="2:24" s="1" customFormat="1" x14ac:dyDescent="0.3">
      <c r="B76" s="48" t="s">
        <v>53</v>
      </c>
      <c r="C76" s="29"/>
      <c r="D76" s="30" t="s">
        <v>28</v>
      </c>
      <c r="E76" s="30" t="s">
        <v>43</v>
      </c>
      <c r="F76" s="49">
        <v>1120000</v>
      </c>
      <c r="G76" s="50">
        <v>2.3109000000000002</v>
      </c>
      <c r="H76" s="32">
        <f t="shared" si="13"/>
        <v>2588208</v>
      </c>
      <c r="I76" s="33">
        <f t="shared" si="4"/>
        <v>103528.32000000001</v>
      </c>
      <c r="J76" s="34"/>
      <c r="K76" s="35"/>
      <c r="L76" s="36">
        <f t="shared" si="14"/>
        <v>2588208</v>
      </c>
      <c r="M76" s="36">
        <f t="shared" si="0"/>
        <v>103528.32000000001</v>
      </c>
      <c r="N76" s="36"/>
      <c r="O76" s="36">
        <f t="shared" si="15"/>
        <v>4141.1328000000003</v>
      </c>
      <c r="P76" s="36">
        <f t="shared" si="16"/>
        <v>4141.1328000000003</v>
      </c>
      <c r="Q76" s="36">
        <f t="shared" si="17"/>
        <v>20705.664000000004</v>
      </c>
      <c r="R76" s="36"/>
      <c r="S76" s="36"/>
      <c r="T76" s="36"/>
      <c r="U76" s="20">
        <f t="shared" si="2"/>
        <v>74540.390400000004</v>
      </c>
      <c r="V76" s="38"/>
      <c r="W76" s="30"/>
      <c r="X76" s="30"/>
    </row>
    <row r="77" spans="2:24" s="1" customFormat="1" x14ac:dyDescent="0.3">
      <c r="B77" s="48" t="s">
        <v>54</v>
      </c>
      <c r="C77" s="29"/>
      <c r="D77" s="30" t="s">
        <v>28</v>
      </c>
      <c r="E77" s="30" t="s">
        <v>43</v>
      </c>
      <c r="F77" s="49">
        <v>495856</v>
      </c>
      <c r="G77" s="50">
        <v>20.547799999999999</v>
      </c>
      <c r="H77" s="32">
        <f t="shared" si="13"/>
        <v>10188749.9168</v>
      </c>
      <c r="I77" s="33">
        <f t="shared" si="4"/>
        <v>407549.99667199998</v>
      </c>
      <c r="J77" s="34"/>
      <c r="K77" s="35"/>
      <c r="L77" s="36">
        <f t="shared" si="14"/>
        <v>10188749.9168</v>
      </c>
      <c r="M77" s="36">
        <f t="shared" si="0"/>
        <v>407549.99667199998</v>
      </c>
      <c r="N77" s="36"/>
      <c r="O77" s="36">
        <f t="shared" ref="O77:T77" si="22">+$M$77/6</f>
        <v>67924.999445333335</v>
      </c>
      <c r="P77" s="36">
        <f t="shared" si="22"/>
        <v>67924.999445333335</v>
      </c>
      <c r="Q77" s="36">
        <f t="shared" si="22"/>
        <v>67924.999445333335</v>
      </c>
      <c r="R77" s="36">
        <f t="shared" si="22"/>
        <v>67924.999445333335</v>
      </c>
      <c r="S77" s="36">
        <f t="shared" si="22"/>
        <v>67924.999445333335</v>
      </c>
      <c r="T77" s="36">
        <f t="shared" si="22"/>
        <v>67924.999445333335</v>
      </c>
      <c r="U77" s="20">
        <f t="shared" si="2"/>
        <v>0</v>
      </c>
      <c r="V77" s="38"/>
      <c r="W77" s="30"/>
      <c r="X77" s="30"/>
    </row>
    <row r="78" spans="2:24" s="1" customFormat="1" x14ac:dyDescent="0.3">
      <c r="B78" s="48" t="s">
        <v>55</v>
      </c>
      <c r="C78" s="29"/>
      <c r="D78" s="30" t="s">
        <v>28</v>
      </c>
      <c r="E78" s="30" t="s">
        <v>43</v>
      </c>
      <c r="F78" s="49">
        <v>398291</v>
      </c>
      <c r="G78" s="50">
        <v>17.540900000000001</v>
      </c>
      <c r="H78" s="32">
        <f t="shared" si="13"/>
        <v>6986382.6019000001</v>
      </c>
      <c r="I78" s="33">
        <f t="shared" si="4"/>
        <v>279455.304076</v>
      </c>
      <c r="J78" s="34"/>
      <c r="K78" s="35"/>
      <c r="L78" s="36">
        <f t="shared" si="14"/>
        <v>6986382.6019000001</v>
      </c>
      <c r="M78" s="36">
        <f t="shared" si="0"/>
        <v>279455.304076</v>
      </c>
      <c r="N78" s="36"/>
      <c r="O78" s="36">
        <f t="shared" ref="O78:T78" si="23">+$M$78/6</f>
        <v>46575.884012666669</v>
      </c>
      <c r="P78" s="36">
        <f t="shared" si="23"/>
        <v>46575.884012666669</v>
      </c>
      <c r="Q78" s="36">
        <f t="shared" si="23"/>
        <v>46575.884012666669</v>
      </c>
      <c r="R78" s="36">
        <f t="shared" si="23"/>
        <v>46575.884012666669</v>
      </c>
      <c r="S78" s="36">
        <f t="shared" si="23"/>
        <v>46575.884012666669</v>
      </c>
      <c r="T78" s="36">
        <f t="shared" si="23"/>
        <v>46575.884012666669</v>
      </c>
      <c r="U78" s="20">
        <f t="shared" si="2"/>
        <v>0</v>
      </c>
      <c r="V78" s="38"/>
      <c r="W78" s="30"/>
      <c r="X78" s="30"/>
    </row>
    <row r="79" spans="2:24" s="1" customFormat="1" x14ac:dyDescent="0.3">
      <c r="B79" s="48" t="s">
        <v>56</v>
      </c>
      <c r="C79" s="29"/>
      <c r="D79" s="30" t="s">
        <v>28</v>
      </c>
      <c r="E79" s="30" t="s">
        <v>43</v>
      </c>
      <c r="F79" s="49">
        <v>91000</v>
      </c>
      <c r="G79" s="50">
        <v>5.1454000000000004</v>
      </c>
      <c r="H79" s="32">
        <f t="shared" si="13"/>
        <v>468231.4</v>
      </c>
      <c r="I79" s="33">
        <f t="shared" si="4"/>
        <v>18729.256000000001</v>
      </c>
      <c r="J79" s="34"/>
      <c r="K79" s="35"/>
      <c r="L79" s="36">
        <f t="shared" si="14"/>
        <v>468231.4</v>
      </c>
      <c r="M79" s="36">
        <f t="shared" si="0"/>
        <v>18729.256000000001</v>
      </c>
      <c r="N79" s="36"/>
      <c r="O79" s="36">
        <f t="shared" si="15"/>
        <v>749.17024000000004</v>
      </c>
      <c r="P79" s="36">
        <f t="shared" si="16"/>
        <v>749.17024000000004</v>
      </c>
      <c r="Q79" s="36">
        <f t="shared" si="17"/>
        <v>3745.8512000000005</v>
      </c>
      <c r="R79" s="36"/>
      <c r="S79" s="36"/>
      <c r="T79" s="36"/>
      <c r="U79" s="20">
        <f t="shared" si="2"/>
        <v>13485.064320000001</v>
      </c>
      <c r="V79" s="38"/>
      <c r="W79" s="30"/>
      <c r="X79" s="30"/>
    </row>
    <row r="80" spans="2:24" s="1" customFormat="1" x14ac:dyDescent="0.3">
      <c r="B80" s="48" t="s">
        <v>57</v>
      </c>
      <c r="C80" s="29"/>
      <c r="D80" s="30" t="s">
        <v>28</v>
      </c>
      <c r="E80" s="30" t="s">
        <v>43</v>
      </c>
      <c r="F80" s="49">
        <v>91000</v>
      </c>
      <c r="G80" s="50">
        <v>0.98939999999999995</v>
      </c>
      <c r="H80" s="32">
        <f t="shared" si="13"/>
        <v>90035.4</v>
      </c>
      <c r="I80" s="33">
        <f t="shared" si="4"/>
        <v>3601.4159999999997</v>
      </c>
      <c r="J80" s="34"/>
      <c r="K80" s="35"/>
      <c r="L80" s="36">
        <f t="shared" si="14"/>
        <v>90035.4</v>
      </c>
      <c r="M80" s="36">
        <f t="shared" si="0"/>
        <v>3601.4159999999997</v>
      </c>
      <c r="N80" s="36"/>
      <c r="O80" s="36">
        <f t="shared" si="15"/>
        <v>144.05663999999999</v>
      </c>
      <c r="P80" s="36">
        <f t="shared" si="16"/>
        <v>144.05663999999999</v>
      </c>
      <c r="Q80" s="36">
        <f t="shared" si="17"/>
        <v>720.28319999999997</v>
      </c>
      <c r="R80" s="36"/>
      <c r="S80" s="36"/>
      <c r="T80" s="36"/>
      <c r="U80" s="20">
        <f t="shared" si="2"/>
        <v>2593.0195199999998</v>
      </c>
      <c r="V80" s="38"/>
      <c r="W80" s="30"/>
      <c r="X80" s="30"/>
    </row>
    <row r="81" spans="1:24" s="1" customFormat="1" x14ac:dyDescent="0.3">
      <c r="B81" s="48" t="s">
        <v>58</v>
      </c>
      <c r="C81" s="29"/>
      <c r="D81" s="30" t="s">
        <v>28</v>
      </c>
      <c r="E81" s="30" t="s">
        <v>43</v>
      </c>
      <c r="F81" s="49">
        <v>32500</v>
      </c>
      <c r="G81" s="50">
        <v>2.7612000000000001</v>
      </c>
      <c r="H81" s="32">
        <f t="shared" si="13"/>
        <v>89739</v>
      </c>
      <c r="I81" s="33">
        <f t="shared" si="4"/>
        <v>3589.56</v>
      </c>
      <c r="J81" s="34"/>
      <c r="K81" s="35"/>
      <c r="L81" s="36">
        <f t="shared" si="14"/>
        <v>89739</v>
      </c>
      <c r="M81" s="36">
        <f t="shared" si="0"/>
        <v>3589.56</v>
      </c>
      <c r="N81" s="36"/>
      <c r="O81" s="36">
        <f t="shared" si="15"/>
        <v>143.58240000000001</v>
      </c>
      <c r="P81" s="36">
        <f t="shared" si="16"/>
        <v>143.58240000000001</v>
      </c>
      <c r="Q81" s="36">
        <f t="shared" si="17"/>
        <v>717.91200000000003</v>
      </c>
      <c r="R81" s="36"/>
      <c r="S81" s="36"/>
      <c r="T81" s="36"/>
      <c r="U81" s="20">
        <f t="shared" si="2"/>
        <v>2584.4831999999997</v>
      </c>
      <c r="V81" s="38"/>
      <c r="W81" s="30"/>
      <c r="X81" s="30"/>
    </row>
    <row r="82" spans="1:24" s="1" customFormat="1" x14ac:dyDescent="0.3">
      <c r="B82" s="48" t="s">
        <v>59</v>
      </c>
      <c r="C82" s="29"/>
      <c r="D82" s="30" t="s">
        <v>28</v>
      </c>
      <c r="E82" s="30" t="s">
        <v>43</v>
      </c>
      <c r="F82" s="49">
        <v>6500</v>
      </c>
      <c r="G82" s="50">
        <v>23.145</v>
      </c>
      <c r="H82" s="32">
        <f t="shared" si="13"/>
        <v>150442.5</v>
      </c>
      <c r="I82" s="33">
        <f t="shared" si="4"/>
        <v>6017.7</v>
      </c>
      <c r="J82" s="34"/>
      <c r="K82" s="35"/>
      <c r="L82" s="36">
        <f t="shared" si="14"/>
        <v>150442.5</v>
      </c>
      <c r="M82" s="36">
        <f t="shared" si="0"/>
        <v>6017.7</v>
      </c>
      <c r="N82" s="36"/>
      <c r="O82" s="36">
        <f t="shared" si="15"/>
        <v>240.708</v>
      </c>
      <c r="P82" s="36">
        <f t="shared" si="16"/>
        <v>240.708</v>
      </c>
      <c r="Q82" s="36">
        <f t="shared" si="17"/>
        <v>1203.54</v>
      </c>
      <c r="R82" s="36"/>
      <c r="S82" s="36"/>
      <c r="T82" s="36"/>
      <c r="U82" s="20">
        <f t="shared" si="2"/>
        <v>4332.7439999999997</v>
      </c>
      <c r="V82" s="38"/>
      <c r="W82" s="30"/>
      <c r="X82" s="30"/>
    </row>
    <row r="83" spans="1:24" s="1" customFormat="1" x14ac:dyDescent="0.3">
      <c r="B83" s="48" t="s">
        <v>58</v>
      </c>
      <c r="C83" s="29"/>
      <c r="D83" s="30" t="s">
        <v>28</v>
      </c>
      <c r="E83" s="30" t="s">
        <v>43</v>
      </c>
      <c r="F83" s="49">
        <v>3768</v>
      </c>
      <c r="G83" s="50">
        <v>526.25</v>
      </c>
      <c r="H83" s="32">
        <f t="shared" si="13"/>
        <v>1982910</v>
      </c>
      <c r="I83" s="33">
        <f t="shared" si="4"/>
        <v>79316.399999999994</v>
      </c>
      <c r="J83" s="34"/>
      <c r="K83" s="35"/>
      <c r="L83" s="36">
        <f t="shared" si="14"/>
        <v>1982910</v>
      </c>
      <c r="M83" s="36">
        <f t="shared" si="0"/>
        <v>79316.399999999994</v>
      </c>
      <c r="N83" s="36"/>
      <c r="O83" s="36">
        <f t="shared" ref="O83:T83" si="24">+$M$83/6</f>
        <v>13219.4</v>
      </c>
      <c r="P83" s="36">
        <f t="shared" si="24"/>
        <v>13219.4</v>
      </c>
      <c r="Q83" s="36">
        <f t="shared" si="24"/>
        <v>13219.4</v>
      </c>
      <c r="R83" s="36">
        <f t="shared" si="24"/>
        <v>13219.4</v>
      </c>
      <c r="S83" s="36">
        <f t="shared" si="24"/>
        <v>13219.4</v>
      </c>
      <c r="T83" s="36">
        <f t="shared" si="24"/>
        <v>13219.4</v>
      </c>
      <c r="U83" s="20">
        <f t="shared" si="2"/>
        <v>0</v>
      </c>
      <c r="V83" s="38"/>
      <c r="W83" s="30"/>
      <c r="X83" s="30"/>
    </row>
    <row r="84" spans="1:24" s="1" customFormat="1" x14ac:dyDescent="0.3">
      <c r="B84" s="48" t="s">
        <v>60</v>
      </c>
      <c r="C84" s="29"/>
      <c r="D84" s="30" t="s">
        <v>28</v>
      </c>
      <c r="E84" s="30" t="s">
        <v>43</v>
      </c>
      <c r="F84" s="49">
        <v>130000</v>
      </c>
      <c r="G84" s="50">
        <v>6.6817000000000002</v>
      </c>
      <c r="H84" s="32">
        <f t="shared" si="13"/>
        <v>868621</v>
      </c>
      <c r="I84" s="33">
        <f t="shared" si="4"/>
        <v>34744.839999999997</v>
      </c>
      <c r="J84" s="34"/>
      <c r="K84" s="35"/>
      <c r="L84" s="36">
        <f t="shared" si="14"/>
        <v>868621</v>
      </c>
      <c r="M84" s="36">
        <f t="shared" si="0"/>
        <v>34744.839999999997</v>
      </c>
      <c r="N84" s="36"/>
      <c r="O84" s="36">
        <f t="shared" si="15"/>
        <v>1389.7936</v>
      </c>
      <c r="P84" s="36">
        <f t="shared" si="16"/>
        <v>1389.7936</v>
      </c>
      <c r="Q84" s="36">
        <f t="shared" si="17"/>
        <v>6948.9679999999998</v>
      </c>
      <c r="R84" s="36"/>
      <c r="S84" s="36"/>
      <c r="T84" s="36"/>
      <c r="U84" s="20">
        <f t="shared" si="2"/>
        <v>25016.284799999998</v>
      </c>
      <c r="V84" s="38"/>
      <c r="W84" s="30"/>
      <c r="X84" s="30"/>
    </row>
    <row r="85" spans="1:24" s="1" customFormat="1" x14ac:dyDescent="0.3">
      <c r="B85" s="48" t="s">
        <v>61</v>
      </c>
      <c r="C85" s="29"/>
      <c r="D85" s="30" t="s">
        <v>28</v>
      </c>
      <c r="E85" s="30" t="s">
        <v>43</v>
      </c>
      <c r="F85" s="49">
        <v>182000</v>
      </c>
      <c r="G85" s="50">
        <v>1.1829000000000001</v>
      </c>
      <c r="H85" s="32">
        <f t="shared" si="13"/>
        <v>215287.80000000002</v>
      </c>
      <c r="I85" s="33">
        <f t="shared" si="4"/>
        <v>8611.5120000000006</v>
      </c>
      <c r="J85" s="34"/>
      <c r="K85" s="35"/>
      <c r="L85" s="36">
        <f t="shared" si="14"/>
        <v>215287.80000000002</v>
      </c>
      <c r="M85" s="36">
        <f t="shared" si="0"/>
        <v>8611.5120000000006</v>
      </c>
      <c r="N85" s="36"/>
      <c r="O85" s="36">
        <f t="shared" si="15"/>
        <v>344.46048000000002</v>
      </c>
      <c r="P85" s="36">
        <f t="shared" si="16"/>
        <v>344.46048000000002</v>
      </c>
      <c r="Q85" s="36">
        <f t="shared" si="17"/>
        <v>1722.3024000000003</v>
      </c>
      <c r="R85" s="36"/>
      <c r="S85" s="36"/>
      <c r="T85" s="36"/>
      <c r="U85" s="20">
        <f t="shared" si="2"/>
        <v>6200.2886400000007</v>
      </c>
      <c r="V85" s="38"/>
      <c r="W85" s="30"/>
      <c r="X85" s="30"/>
    </row>
    <row r="86" spans="1:24" s="1" customFormat="1" x14ac:dyDescent="0.3">
      <c r="B86" s="48" t="s">
        <v>62</v>
      </c>
      <c r="C86" s="29"/>
      <c r="D86" s="30" t="s">
        <v>28</v>
      </c>
      <c r="E86" s="30" t="s">
        <v>43</v>
      </c>
      <c r="F86" s="49">
        <v>13000</v>
      </c>
      <c r="G86" s="50">
        <v>26.780200000000001</v>
      </c>
      <c r="H86" s="32">
        <f t="shared" si="13"/>
        <v>348142.60000000003</v>
      </c>
      <c r="I86" s="33">
        <f t="shared" si="4"/>
        <v>13925.704000000002</v>
      </c>
      <c r="J86" s="34"/>
      <c r="K86" s="35"/>
      <c r="L86" s="36">
        <f t="shared" si="14"/>
        <v>348142.60000000003</v>
      </c>
      <c r="M86" s="36">
        <f t="shared" si="0"/>
        <v>13925.704000000002</v>
      </c>
      <c r="N86" s="36"/>
      <c r="O86" s="36">
        <f t="shared" si="15"/>
        <v>557.02816000000007</v>
      </c>
      <c r="P86" s="36">
        <f t="shared" si="16"/>
        <v>557.02816000000007</v>
      </c>
      <c r="Q86" s="36">
        <f t="shared" si="17"/>
        <v>2785.1408000000006</v>
      </c>
      <c r="R86" s="36"/>
      <c r="S86" s="36"/>
      <c r="T86" s="36"/>
      <c r="U86" s="20">
        <f t="shared" si="2"/>
        <v>10026.506880000001</v>
      </c>
      <c r="V86" s="38"/>
      <c r="W86" s="30"/>
      <c r="X86" s="30"/>
    </row>
    <row r="87" spans="1:24" s="1" customFormat="1" x14ac:dyDescent="0.3">
      <c r="B87" s="48" t="s">
        <v>63</v>
      </c>
      <c r="C87" s="29"/>
      <c r="D87" s="30" t="s">
        <v>28</v>
      </c>
      <c r="E87" s="30" t="s">
        <v>43</v>
      </c>
      <c r="F87" s="49">
        <v>69890</v>
      </c>
      <c r="G87" s="50">
        <v>68.957899999999995</v>
      </c>
      <c r="H87" s="32">
        <f t="shared" si="13"/>
        <v>4819467.6310000001</v>
      </c>
      <c r="I87" s="33">
        <f t="shared" si="4"/>
        <v>192778.70524000001</v>
      </c>
      <c r="J87" s="34"/>
      <c r="K87" s="35"/>
      <c r="L87" s="36">
        <f t="shared" si="14"/>
        <v>4819467.6310000001</v>
      </c>
      <c r="M87" s="36">
        <f t="shared" si="0"/>
        <v>192778.70524000001</v>
      </c>
      <c r="N87" s="36"/>
      <c r="O87" s="36">
        <f t="shared" ref="O87:T87" si="25">+$M$87/6</f>
        <v>32129.784206666667</v>
      </c>
      <c r="P87" s="36">
        <f t="shared" si="25"/>
        <v>32129.784206666667</v>
      </c>
      <c r="Q87" s="36">
        <f t="shared" si="25"/>
        <v>32129.784206666667</v>
      </c>
      <c r="R87" s="36">
        <f t="shared" si="25"/>
        <v>32129.784206666667</v>
      </c>
      <c r="S87" s="36">
        <f t="shared" si="25"/>
        <v>32129.784206666667</v>
      </c>
      <c r="T87" s="36">
        <f t="shared" si="25"/>
        <v>32129.784206666667</v>
      </c>
      <c r="U87" s="20">
        <f t="shared" si="2"/>
        <v>0</v>
      </c>
      <c r="V87" s="38"/>
      <c r="W87" s="30"/>
      <c r="X87" s="30"/>
    </row>
    <row r="88" spans="1:24" s="1" customFormat="1" x14ac:dyDescent="0.3">
      <c r="B88" s="48" t="s">
        <v>64</v>
      </c>
      <c r="C88" s="29"/>
      <c r="D88" s="30" t="s">
        <v>28</v>
      </c>
      <c r="E88" s="30" t="s">
        <v>43</v>
      </c>
      <c r="F88" s="49">
        <v>97555</v>
      </c>
      <c r="G88" s="50">
        <v>49.6</v>
      </c>
      <c r="H88" s="32">
        <f t="shared" si="13"/>
        <v>4838728</v>
      </c>
      <c r="I88" s="33">
        <f t="shared" si="4"/>
        <v>193549.12</v>
      </c>
      <c r="J88" s="34"/>
      <c r="K88" s="35"/>
      <c r="L88" s="36">
        <f t="shared" si="14"/>
        <v>4838728</v>
      </c>
      <c r="M88" s="36">
        <f t="shared" si="0"/>
        <v>193549.12</v>
      </c>
      <c r="N88" s="36"/>
      <c r="O88" s="36">
        <f t="shared" ref="O88:T88" si="26">+$M$88/6</f>
        <v>32258.186666666665</v>
      </c>
      <c r="P88" s="36">
        <f t="shared" si="26"/>
        <v>32258.186666666665</v>
      </c>
      <c r="Q88" s="36">
        <f t="shared" si="26"/>
        <v>32258.186666666665</v>
      </c>
      <c r="R88" s="36">
        <f t="shared" si="26"/>
        <v>32258.186666666665</v>
      </c>
      <c r="S88" s="36">
        <f t="shared" si="26"/>
        <v>32258.186666666665</v>
      </c>
      <c r="T88" s="36">
        <f t="shared" si="26"/>
        <v>32258.186666666665</v>
      </c>
      <c r="U88" s="20">
        <f t="shared" si="2"/>
        <v>0</v>
      </c>
      <c r="V88" s="38"/>
      <c r="W88" s="30"/>
      <c r="X88" s="30"/>
    </row>
    <row r="89" spans="1:24" s="1" customFormat="1" x14ac:dyDescent="0.3">
      <c r="B89" s="48" t="s">
        <v>65</v>
      </c>
      <c r="C89" s="29"/>
      <c r="D89" s="30" t="s">
        <v>28</v>
      </c>
      <c r="E89" s="30" t="s">
        <v>43</v>
      </c>
      <c r="F89" s="49">
        <v>76769</v>
      </c>
      <c r="G89" s="50">
        <v>31.43</v>
      </c>
      <c r="H89" s="32">
        <f t="shared" si="13"/>
        <v>2412849.67</v>
      </c>
      <c r="I89" s="33">
        <f t="shared" si="4"/>
        <v>96513.986799999999</v>
      </c>
      <c r="J89" s="34"/>
      <c r="K89" s="35"/>
      <c r="L89" s="36">
        <f t="shared" si="14"/>
        <v>2412849.67</v>
      </c>
      <c r="M89" s="36">
        <f t="shared" si="0"/>
        <v>96513.986799999999</v>
      </c>
      <c r="N89" s="36"/>
      <c r="O89" s="36">
        <f t="shared" ref="O89:T89" si="27">+$M$89/6</f>
        <v>16085.664466666667</v>
      </c>
      <c r="P89" s="36">
        <f t="shared" si="27"/>
        <v>16085.664466666667</v>
      </c>
      <c r="Q89" s="36">
        <f t="shared" si="27"/>
        <v>16085.664466666667</v>
      </c>
      <c r="R89" s="36">
        <f t="shared" si="27"/>
        <v>16085.664466666667</v>
      </c>
      <c r="S89" s="36">
        <f t="shared" si="27"/>
        <v>16085.664466666667</v>
      </c>
      <c r="T89" s="36">
        <f t="shared" si="27"/>
        <v>16085.664466666667</v>
      </c>
      <c r="U89" s="20">
        <f t="shared" si="2"/>
        <v>0</v>
      </c>
      <c r="V89" s="38"/>
      <c r="W89" s="30"/>
      <c r="X89" s="30"/>
    </row>
    <row r="90" spans="1:24" s="1" customFormat="1" x14ac:dyDescent="0.3">
      <c r="B90" s="48" t="s">
        <v>66</v>
      </c>
      <c r="C90" s="29"/>
      <c r="D90" s="30" t="s">
        <v>28</v>
      </c>
      <c r="E90" s="30" t="s">
        <v>43</v>
      </c>
      <c r="F90" s="49">
        <v>34458</v>
      </c>
      <c r="G90" s="50">
        <v>15.818099999999999</v>
      </c>
      <c r="H90" s="32">
        <f t="shared" si="13"/>
        <v>545060.08979999996</v>
      </c>
      <c r="I90" s="33">
        <f t="shared" si="4"/>
        <v>21802.403591999999</v>
      </c>
      <c r="J90" s="34"/>
      <c r="K90" s="35"/>
      <c r="L90" s="36">
        <f t="shared" si="14"/>
        <v>545060.08979999996</v>
      </c>
      <c r="M90" s="36">
        <f t="shared" si="0"/>
        <v>21802.403591999999</v>
      </c>
      <c r="N90" s="36"/>
      <c r="O90" s="36">
        <f t="shared" ref="O90:T90" si="28">+$M$90/6</f>
        <v>3633.7339319999996</v>
      </c>
      <c r="P90" s="36">
        <f t="shared" si="28"/>
        <v>3633.7339319999996</v>
      </c>
      <c r="Q90" s="36">
        <f t="shared" si="28"/>
        <v>3633.7339319999996</v>
      </c>
      <c r="R90" s="36">
        <f t="shared" si="28"/>
        <v>3633.7339319999996</v>
      </c>
      <c r="S90" s="36">
        <f t="shared" si="28"/>
        <v>3633.7339319999996</v>
      </c>
      <c r="T90" s="36">
        <f t="shared" si="28"/>
        <v>3633.7339319999996</v>
      </c>
      <c r="U90" s="20">
        <f t="shared" si="2"/>
        <v>0</v>
      </c>
      <c r="V90" s="38"/>
      <c r="W90" s="30"/>
      <c r="X90" s="30"/>
    </row>
    <row r="91" spans="1:24" s="1" customFormat="1" x14ac:dyDescent="0.3">
      <c r="B91" s="48" t="s">
        <v>67</v>
      </c>
      <c r="C91" s="29"/>
      <c r="D91" s="30" t="s">
        <v>28</v>
      </c>
      <c r="E91" s="30" t="s">
        <v>43</v>
      </c>
      <c r="F91" s="49">
        <v>25367</v>
      </c>
      <c r="G91" s="50">
        <v>17.053899999999999</v>
      </c>
      <c r="H91" s="32">
        <f t="shared" si="13"/>
        <v>432606.28129999997</v>
      </c>
      <c r="I91" s="33">
        <f t="shared" si="4"/>
        <v>17304.251251999998</v>
      </c>
      <c r="J91" s="34"/>
      <c r="K91" s="35"/>
      <c r="L91" s="36">
        <f t="shared" si="14"/>
        <v>432606.28129999997</v>
      </c>
      <c r="M91" s="36">
        <f t="shared" si="0"/>
        <v>17304.251251999998</v>
      </c>
      <c r="N91" s="36"/>
      <c r="O91" s="36">
        <f t="shared" ref="O91:T91" si="29">+$M$91/6</f>
        <v>2884.0418753333329</v>
      </c>
      <c r="P91" s="36">
        <f t="shared" si="29"/>
        <v>2884.0418753333329</v>
      </c>
      <c r="Q91" s="36">
        <f t="shared" si="29"/>
        <v>2884.0418753333329</v>
      </c>
      <c r="R91" s="36">
        <f t="shared" si="29"/>
        <v>2884.0418753333329</v>
      </c>
      <c r="S91" s="36">
        <f t="shared" si="29"/>
        <v>2884.0418753333329</v>
      </c>
      <c r="T91" s="36">
        <f t="shared" si="29"/>
        <v>2884.0418753333329</v>
      </c>
      <c r="U91" s="20">
        <f t="shared" ref="U91:U152" si="30">M91-SUM(O91:T91)</f>
        <v>0</v>
      </c>
      <c r="V91" s="38"/>
      <c r="W91" s="30"/>
      <c r="X91" s="30"/>
    </row>
    <row r="92" spans="1:24" s="1" customFormat="1" x14ac:dyDescent="0.3">
      <c r="B92" s="48" t="s">
        <v>68</v>
      </c>
      <c r="C92" s="29"/>
      <c r="D92" s="30" t="s">
        <v>28</v>
      </c>
      <c r="E92" s="30" t="s">
        <v>43</v>
      </c>
      <c r="F92" s="49">
        <v>14021</v>
      </c>
      <c r="G92" s="50">
        <v>30.815300000000001</v>
      </c>
      <c r="H92" s="32">
        <f t="shared" si="13"/>
        <v>432061.32130000001</v>
      </c>
      <c r="I92" s="33">
        <f t="shared" si="4"/>
        <v>17282.452852000002</v>
      </c>
      <c r="J92" s="34"/>
      <c r="K92" s="35"/>
      <c r="L92" s="36">
        <f t="shared" si="14"/>
        <v>432061.32130000001</v>
      </c>
      <c r="M92" s="36">
        <f t="shared" si="0"/>
        <v>17282.452852000002</v>
      </c>
      <c r="N92" s="36"/>
      <c r="O92" s="36">
        <f t="shared" ref="O92:T92" si="31">+$M$92/6</f>
        <v>2880.408808666667</v>
      </c>
      <c r="P92" s="36">
        <f t="shared" si="31"/>
        <v>2880.408808666667</v>
      </c>
      <c r="Q92" s="36">
        <f t="shared" si="31"/>
        <v>2880.408808666667</v>
      </c>
      <c r="R92" s="36">
        <f t="shared" si="31"/>
        <v>2880.408808666667</v>
      </c>
      <c r="S92" s="36">
        <f t="shared" si="31"/>
        <v>2880.408808666667</v>
      </c>
      <c r="T92" s="36">
        <f t="shared" si="31"/>
        <v>2880.408808666667</v>
      </c>
      <c r="U92" s="20">
        <f t="shared" si="30"/>
        <v>0</v>
      </c>
      <c r="V92" s="38"/>
      <c r="W92" s="30"/>
      <c r="X92" s="30"/>
    </row>
    <row r="93" spans="1:24" s="1" customFormat="1" x14ac:dyDescent="0.3">
      <c r="B93" s="48" t="s">
        <v>69</v>
      </c>
      <c r="C93" s="29"/>
      <c r="D93" s="30" t="s">
        <v>28</v>
      </c>
      <c r="E93" s="30" t="s">
        <v>43</v>
      </c>
      <c r="F93" s="49">
        <v>33467</v>
      </c>
      <c r="G93" s="50">
        <v>21.215900000000001</v>
      </c>
      <c r="H93" s="32">
        <f t="shared" si="13"/>
        <v>710032.5253000001</v>
      </c>
      <c r="I93" s="33">
        <f t="shared" si="4"/>
        <v>28401.301012000004</v>
      </c>
      <c r="J93" s="34"/>
      <c r="K93" s="35"/>
      <c r="L93" s="36">
        <f t="shared" si="14"/>
        <v>710032.5253000001</v>
      </c>
      <c r="M93" s="36">
        <f t="shared" si="0"/>
        <v>28401.301012000004</v>
      </c>
      <c r="N93" s="36"/>
      <c r="O93" s="36">
        <f t="shared" ref="O93:T93" si="32">+$M$93/6</f>
        <v>4733.5501686666676</v>
      </c>
      <c r="P93" s="36">
        <f t="shared" si="32"/>
        <v>4733.5501686666676</v>
      </c>
      <c r="Q93" s="36">
        <f t="shared" si="32"/>
        <v>4733.5501686666676</v>
      </c>
      <c r="R93" s="36">
        <f t="shared" si="32"/>
        <v>4733.5501686666676</v>
      </c>
      <c r="S93" s="36">
        <f t="shared" si="32"/>
        <v>4733.5501686666676</v>
      </c>
      <c r="T93" s="36">
        <f t="shared" si="32"/>
        <v>4733.5501686666676</v>
      </c>
      <c r="U93" s="20">
        <f t="shared" si="30"/>
        <v>0</v>
      </c>
      <c r="V93" s="38"/>
      <c r="W93" s="30"/>
      <c r="X93" s="30"/>
    </row>
    <row r="94" spans="1:24" s="1" customFormat="1" x14ac:dyDescent="0.3">
      <c r="B94" s="48" t="s">
        <v>70</v>
      </c>
      <c r="C94" s="29"/>
      <c r="D94" s="30" t="s">
        <v>28</v>
      </c>
      <c r="E94" s="30" t="s">
        <v>43</v>
      </c>
      <c r="F94" s="49">
        <v>11414</v>
      </c>
      <c r="G94" s="50">
        <v>41</v>
      </c>
      <c r="H94" s="32">
        <f t="shared" si="13"/>
        <v>467974</v>
      </c>
      <c r="I94" s="33">
        <f t="shared" si="4"/>
        <v>18718.96</v>
      </c>
      <c r="J94" s="34"/>
      <c r="K94" s="35"/>
      <c r="L94" s="36">
        <f t="shared" si="14"/>
        <v>467974</v>
      </c>
      <c r="M94" s="36">
        <f t="shared" si="0"/>
        <v>18718.96</v>
      </c>
      <c r="N94" s="36"/>
      <c r="O94" s="36">
        <f t="shared" ref="O94:T94" si="33">+$M$94/6</f>
        <v>3119.8266666666664</v>
      </c>
      <c r="P94" s="36">
        <f t="shared" si="33"/>
        <v>3119.8266666666664</v>
      </c>
      <c r="Q94" s="36">
        <f t="shared" si="33"/>
        <v>3119.8266666666664</v>
      </c>
      <c r="R94" s="36">
        <f t="shared" si="33"/>
        <v>3119.8266666666664</v>
      </c>
      <c r="S94" s="36">
        <f t="shared" si="33"/>
        <v>3119.8266666666664</v>
      </c>
      <c r="T94" s="36">
        <f t="shared" si="33"/>
        <v>3119.8266666666664</v>
      </c>
      <c r="U94" s="20">
        <f t="shared" si="30"/>
        <v>0</v>
      </c>
      <c r="V94" s="38"/>
      <c r="W94" s="30"/>
      <c r="X94" s="30"/>
    </row>
    <row r="95" spans="1:24" s="119" customFormat="1" x14ac:dyDescent="0.3">
      <c r="A95" s="119">
        <v>1</v>
      </c>
      <c r="B95" s="48" t="s">
        <v>129</v>
      </c>
      <c r="C95" s="29"/>
      <c r="D95" s="54" t="s">
        <v>88</v>
      </c>
      <c r="E95" s="30" t="s">
        <v>43</v>
      </c>
      <c r="F95" s="124">
        <v>7000</v>
      </c>
      <c r="G95" s="125">
        <v>876.75</v>
      </c>
      <c r="H95" s="32">
        <v>6137250</v>
      </c>
      <c r="I95" s="33">
        <v>245490</v>
      </c>
      <c r="J95" s="34"/>
      <c r="K95" s="35"/>
      <c r="L95" s="36"/>
      <c r="M95" s="36"/>
      <c r="N95" s="36"/>
      <c r="O95" s="36"/>
      <c r="P95" s="36"/>
      <c r="Q95" s="36"/>
      <c r="R95" s="36"/>
      <c r="S95" s="36"/>
      <c r="T95" s="36"/>
      <c r="U95" s="20"/>
      <c r="V95" s="38"/>
      <c r="W95" s="30"/>
      <c r="X95" s="30"/>
    </row>
    <row r="96" spans="1:24" s="119" customFormat="1" x14ac:dyDescent="0.3">
      <c r="A96" s="119">
        <v>1</v>
      </c>
      <c r="B96" s="48" t="s">
        <v>130</v>
      </c>
      <c r="C96" s="29"/>
      <c r="D96" s="54" t="s">
        <v>88</v>
      </c>
      <c r="E96" s="30" t="s">
        <v>43</v>
      </c>
      <c r="F96" s="124">
        <v>1500800</v>
      </c>
      <c r="G96" s="125">
        <v>9.1338703999999993</v>
      </c>
      <c r="H96" s="32">
        <v>13708112.696319999</v>
      </c>
      <c r="I96" s="33">
        <v>548324.50785279996</v>
      </c>
      <c r="J96" s="34"/>
      <c r="K96" s="35"/>
      <c r="L96" s="36"/>
      <c r="M96" s="36"/>
      <c r="N96" s="36"/>
      <c r="O96" s="36"/>
      <c r="P96" s="36"/>
      <c r="Q96" s="36"/>
      <c r="R96" s="36"/>
      <c r="S96" s="36"/>
      <c r="T96" s="36"/>
      <c r="U96" s="20"/>
      <c r="V96" s="38"/>
      <c r="W96" s="30"/>
      <c r="X96" s="30"/>
    </row>
    <row r="97" spans="1:24" s="119" customFormat="1" x14ac:dyDescent="0.3">
      <c r="A97" s="119">
        <v>1</v>
      </c>
      <c r="B97" s="48" t="s">
        <v>150</v>
      </c>
      <c r="C97" s="29"/>
      <c r="D97" s="54" t="s">
        <v>88</v>
      </c>
      <c r="E97" s="30" t="s">
        <v>43</v>
      </c>
      <c r="F97" s="124">
        <v>18000</v>
      </c>
      <c r="G97" s="125">
        <v>27.1</v>
      </c>
      <c r="H97" s="32">
        <v>487800</v>
      </c>
      <c r="I97" s="33">
        <v>19512</v>
      </c>
      <c r="J97" s="34"/>
      <c r="K97" s="35"/>
      <c r="L97" s="36"/>
      <c r="M97" s="36"/>
      <c r="N97" s="36"/>
      <c r="O97" s="36"/>
      <c r="P97" s="36"/>
      <c r="Q97" s="36"/>
      <c r="R97" s="36"/>
      <c r="S97" s="36"/>
      <c r="T97" s="36"/>
      <c r="U97" s="20"/>
      <c r="V97" s="38"/>
      <c r="W97" s="30"/>
      <c r="X97" s="30"/>
    </row>
    <row r="98" spans="1:24" s="119" customFormat="1" ht="43.2" x14ac:dyDescent="0.3">
      <c r="B98" s="48" t="s">
        <v>155</v>
      </c>
      <c r="C98" s="29"/>
      <c r="D98" s="54" t="s">
        <v>88</v>
      </c>
      <c r="E98" s="30" t="s">
        <v>43</v>
      </c>
      <c r="F98" s="124">
        <v>1</v>
      </c>
      <c r="G98" s="125">
        <v>1088579.8500000001</v>
      </c>
      <c r="H98" s="32">
        <v>1088579.8500000001</v>
      </c>
      <c r="I98" s="33">
        <v>43838.49</v>
      </c>
      <c r="J98" s="34"/>
      <c r="K98" s="35"/>
      <c r="L98" s="36"/>
      <c r="M98" s="36"/>
      <c r="N98" s="36"/>
      <c r="O98" s="36"/>
      <c r="P98" s="36"/>
      <c r="Q98" s="36"/>
      <c r="R98" s="36"/>
      <c r="S98" s="36"/>
      <c r="T98" s="36"/>
      <c r="U98" s="20"/>
      <c r="V98" s="38"/>
      <c r="W98" s="30"/>
      <c r="X98" s="30"/>
    </row>
    <row r="99" spans="1:24" s="119" customFormat="1" ht="28.8" x14ac:dyDescent="0.3">
      <c r="B99" s="48" t="s">
        <v>156</v>
      </c>
      <c r="C99" s="29"/>
      <c r="D99" s="54" t="s">
        <v>88</v>
      </c>
      <c r="E99" s="30" t="s">
        <v>43</v>
      </c>
      <c r="F99" s="124">
        <v>1</v>
      </c>
      <c r="G99" s="125">
        <v>1246099.3512000002</v>
      </c>
      <c r="H99" s="32">
        <v>1246099.3512000002</v>
      </c>
      <c r="I99" s="33">
        <v>50150</v>
      </c>
      <c r="J99" s="34"/>
      <c r="K99" s="35"/>
      <c r="L99" s="36"/>
      <c r="M99" s="36"/>
      <c r="N99" s="36"/>
      <c r="O99" s="36"/>
      <c r="P99" s="36"/>
      <c r="Q99" s="36"/>
      <c r="R99" s="36"/>
      <c r="S99" s="36"/>
      <c r="T99" s="36"/>
      <c r="U99" s="20"/>
      <c r="V99" s="38"/>
      <c r="W99" s="30"/>
      <c r="X99" s="30"/>
    </row>
    <row r="100" spans="1:24" s="119" customFormat="1" x14ac:dyDescent="0.3">
      <c r="A100" s="119">
        <v>1</v>
      </c>
      <c r="B100" s="48" t="s">
        <v>150</v>
      </c>
      <c r="C100" s="29"/>
      <c r="D100" s="54" t="s">
        <v>88</v>
      </c>
      <c r="E100" s="30" t="s">
        <v>43</v>
      </c>
      <c r="F100" s="124">
        <v>150000</v>
      </c>
      <c r="G100" s="125">
        <v>11.2</v>
      </c>
      <c r="H100" s="32">
        <v>1680000</v>
      </c>
      <c r="I100" s="33">
        <v>67200</v>
      </c>
      <c r="J100" s="34"/>
      <c r="K100" s="35"/>
      <c r="L100" s="36"/>
      <c r="M100" s="36"/>
      <c r="N100" s="36"/>
      <c r="O100" s="36"/>
      <c r="P100" s="36"/>
      <c r="Q100" s="36"/>
      <c r="R100" s="36"/>
      <c r="S100" s="36"/>
      <c r="T100" s="36"/>
      <c r="U100" s="20"/>
      <c r="V100" s="38"/>
      <c r="W100" s="30"/>
      <c r="X100" s="30"/>
    </row>
    <row r="101" spans="1:24" s="119" customFormat="1" ht="28.8" x14ac:dyDescent="0.3">
      <c r="B101" s="48" t="s">
        <v>161</v>
      </c>
      <c r="C101" s="29"/>
      <c r="D101" s="54" t="s">
        <v>88</v>
      </c>
      <c r="E101" s="30" t="s">
        <v>43</v>
      </c>
      <c r="F101" s="124"/>
      <c r="G101" s="125"/>
      <c r="H101" s="32">
        <v>380821.92</v>
      </c>
      <c r="I101" s="33">
        <v>15335</v>
      </c>
      <c r="J101" s="34"/>
      <c r="K101" s="35"/>
      <c r="L101" s="36"/>
      <c r="M101" s="36"/>
      <c r="N101" s="36"/>
      <c r="O101" s="36"/>
      <c r="P101" s="36"/>
      <c r="Q101" s="36"/>
      <c r="R101" s="36"/>
      <c r="S101" s="36"/>
      <c r="T101" s="36"/>
      <c r="U101" s="20"/>
      <c r="V101" s="38"/>
      <c r="W101" s="30"/>
      <c r="X101" s="30"/>
    </row>
    <row r="102" spans="1:24" s="119" customFormat="1" x14ac:dyDescent="0.3">
      <c r="B102" s="48" t="s">
        <v>150</v>
      </c>
      <c r="C102" s="29"/>
      <c r="D102" s="54" t="s">
        <v>88</v>
      </c>
      <c r="E102" s="30" t="s">
        <v>43</v>
      </c>
      <c r="F102" s="124">
        <v>82000</v>
      </c>
      <c r="G102" s="125">
        <v>11.2</v>
      </c>
      <c r="H102" s="32">
        <v>918400</v>
      </c>
      <c r="I102" s="33">
        <v>36736</v>
      </c>
      <c r="J102" s="34"/>
      <c r="K102" s="35"/>
      <c r="L102" s="36"/>
      <c r="M102" s="36"/>
      <c r="N102" s="36"/>
      <c r="O102" s="36"/>
      <c r="P102" s="36"/>
      <c r="Q102" s="36"/>
      <c r="R102" s="36"/>
      <c r="S102" s="36"/>
      <c r="T102" s="36"/>
      <c r="U102" s="20"/>
      <c r="V102" s="38"/>
      <c r="W102" s="30"/>
      <c r="X102" s="30"/>
    </row>
    <row r="103" spans="1:24" s="119" customFormat="1" ht="43.2" x14ac:dyDescent="0.3">
      <c r="B103" s="145" t="s">
        <v>193</v>
      </c>
      <c r="C103" s="29"/>
      <c r="D103" s="128" t="s">
        <v>175</v>
      </c>
      <c r="E103" s="54" t="s">
        <v>127</v>
      </c>
      <c r="F103" s="146">
        <v>400</v>
      </c>
      <c r="G103" s="147">
        <v>6695</v>
      </c>
      <c r="H103" s="147">
        <f t="shared" ref="H103" si="34">F103*G103</f>
        <v>2678000</v>
      </c>
      <c r="I103" s="148">
        <f t="shared" ref="I103" si="35">H103/24.8351</f>
        <v>107831.25495770099</v>
      </c>
      <c r="J103" s="34"/>
      <c r="K103" s="35"/>
      <c r="L103" s="36"/>
      <c r="M103" s="36"/>
      <c r="N103" s="36"/>
      <c r="O103" s="36"/>
      <c r="P103" s="36"/>
      <c r="Q103" s="36"/>
      <c r="R103" s="36"/>
      <c r="S103" s="36"/>
      <c r="T103" s="36"/>
      <c r="U103" s="20"/>
      <c r="V103" s="38"/>
      <c r="W103" s="30"/>
      <c r="X103" s="30"/>
    </row>
    <row r="104" spans="1:24" ht="43.2" x14ac:dyDescent="0.3">
      <c r="B104" s="151" t="s">
        <v>197</v>
      </c>
      <c r="C104" s="128" t="s">
        <v>175</v>
      </c>
      <c r="D104" s="128" t="s">
        <v>175</v>
      </c>
      <c r="E104" s="54" t="s">
        <v>127</v>
      </c>
      <c r="F104" s="146">
        <v>251</v>
      </c>
      <c r="G104" s="147">
        <v>3828</v>
      </c>
      <c r="H104" s="147">
        <f>G104*F104</f>
        <v>960828</v>
      </c>
      <c r="I104" s="148">
        <f>H104/24.4288</f>
        <v>39331.77233429395</v>
      </c>
    </row>
    <row r="105" spans="1:24" ht="43.2" x14ac:dyDescent="0.3">
      <c r="B105" s="152" t="s">
        <v>198</v>
      </c>
      <c r="C105" s="128" t="s">
        <v>175</v>
      </c>
      <c r="D105" s="128" t="s">
        <v>175</v>
      </c>
      <c r="E105" s="54" t="s">
        <v>127</v>
      </c>
      <c r="F105" s="146">
        <v>1653</v>
      </c>
      <c r="G105" s="147">
        <v>207</v>
      </c>
      <c r="H105" s="147">
        <f t="shared" ref="H105:H114" si="36">G105*F105</f>
        <v>342171</v>
      </c>
      <c r="I105" s="148">
        <f t="shared" ref="I105:I114" si="37">H105/24.4288</f>
        <v>14006.868941577155</v>
      </c>
    </row>
    <row r="106" spans="1:24" ht="43.2" x14ac:dyDescent="0.3">
      <c r="B106" s="153" t="s">
        <v>199</v>
      </c>
      <c r="C106" s="128" t="s">
        <v>175</v>
      </c>
      <c r="D106" s="128" t="s">
        <v>175</v>
      </c>
      <c r="E106" s="54" t="s">
        <v>127</v>
      </c>
      <c r="F106" s="146">
        <v>52506</v>
      </c>
      <c r="G106" s="147">
        <v>20.51</v>
      </c>
      <c r="H106" s="147">
        <f t="shared" si="36"/>
        <v>1076898.06</v>
      </c>
      <c r="I106" s="148">
        <f t="shared" si="37"/>
        <v>44083.133842022537</v>
      </c>
    </row>
    <row r="107" spans="1:24" ht="43.2" x14ac:dyDescent="0.3">
      <c r="B107" s="154" t="s">
        <v>200</v>
      </c>
      <c r="C107" s="128" t="s">
        <v>175</v>
      </c>
      <c r="D107" s="128" t="s">
        <v>175</v>
      </c>
      <c r="E107" s="54" t="s">
        <v>127</v>
      </c>
      <c r="F107" s="146">
        <v>2</v>
      </c>
      <c r="G107" s="147">
        <v>5750</v>
      </c>
      <c r="H107" s="147">
        <f t="shared" si="36"/>
        <v>11500</v>
      </c>
      <c r="I107" s="148">
        <f t="shared" si="37"/>
        <v>470.755829185224</v>
      </c>
    </row>
    <row r="108" spans="1:24" ht="43.2" x14ac:dyDescent="0.3">
      <c r="B108" s="155" t="s">
        <v>201</v>
      </c>
      <c r="C108" s="128" t="s">
        <v>175</v>
      </c>
      <c r="D108" s="128" t="s">
        <v>175</v>
      </c>
      <c r="E108" s="54" t="s">
        <v>127</v>
      </c>
      <c r="F108" s="146">
        <v>229</v>
      </c>
      <c r="G108" s="147">
        <v>207</v>
      </c>
      <c r="H108" s="147">
        <f t="shared" si="36"/>
        <v>47403</v>
      </c>
      <c r="I108" s="148">
        <f t="shared" si="37"/>
        <v>1940.4555279014935</v>
      </c>
    </row>
    <row r="109" spans="1:24" ht="43.2" x14ac:dyDescent="0.3">
      <c r="B109" s="156" t="s">
        <v>202</v>
      </c>
      <c r="C109" s="128" t="s">
        <v>175</v>
      </c>
      <c r="D109" s="128" t="s">
        <v>175</v>
      </c>
      <c r="E109" s="54" t="s">
        <v>127</v>
      </c>
      <c r="F109" s="146">
        <v>53943</v>
      </c>
      <c r="G109" s="147">
        <v>20.51</v>
      </c>
      <c r="H109" s="147">
        <f t="shared" si="36"/>
        <v>1106370.9300000002</v>
      </c>
      <c r="I109" s="148">
        <f t="shared" si="37"/>
        <v>45289.614307702395</v>
      </c>
    </row>
    <row r="110" spans="1:24" ht="43.2" x14ac:dyDescent="0.3">
      <c r="B110" s="157" t="s">
        <v>203</v>
      </c>
      <c r="C110" s="128" t="s">
        <v>175</v>
      </c>
      <c r="D110" s="128" t="s">
        <v>175</v>
      </c>
      <c r="E110" s="54" t="s">
        <v>127</v>
      </c>
      <c r="F110" s="146">
        <v>81</v>
      </c>
      <c r="G110" s="147">
        <v>207</v>
      </c>
      <c r="H110" s="147">
        <f t="shared" si="36"/>
        <v>16767</v>
      </c>
      <c r="I110" s="148">
        <f t="shared" si="37"/>
        <v>686.36199895205664</v>
      </c>
    </row>
    <row r="111" spans="1:24" ht="43.2" x14ac:dyDescent="0.3">
      <c r="B111" s="152" t="s">
        <v>204</v>
      </c>
      <c r="C111" s="128" t="s">
        <v>175</v>
      </c>
      <c r="D111" s="128" t="s">
        <v>175</v>
      </c>
      <c r="E111" s="54" t="s">
        <v>127</v>
      </c>
      <c r="F111" s="146">
        <v>43784</v>
      </c>
      <c r="G111" s="147">
        <v>20.51</v>
      </c>
      <c r="H111" s="147">
        <f t="shared" si="36"/>
        <v>898009.84000000008</v>
      </c>
      <c r="I111" s="148">
        <f t="shared" si="37"/>
        <v>36760.29276919047</v>
      </c>
    </row>
    <row r="112" spans="1:24" ht="43.2" x14ac:dyDescent="0.3">
      <c r="B112" s="151" t="s">
        <v>205</v>
      </c>
      <c r="C112" s="128" t="s">
        <v>175</v>
      </c>
      <c r="D112" s="128" t="s">
        <v>175</v>
      </c>
      <c r="E112" s="54" t="s">
        <v>127</v>
      </c>
      <c r="F112" s="146">
        <v>20</v>
      </c>
      <c r="G112" s="147">
        <v>138</v>
      </c>
      <c r="H112" s="147">
        <f t="shared" si="36"/>
        <v>2760</v>
      </c>
      <c r="I112" s="148">
        <f t="shared" si="37"/>
        <v>112.98139900445376</v>
      </c>
    </row>
    <row r="113" spans="2:9" ht="43.2" x14ac:dyDescent="0.3">
      <c r="B113" s="152" t="s">
        <v>206</v>
      </c>
      <c r="C113" s="128" t="s">
        <v>175</v>
      </c>
      <c r="D113" s="128" t="s">
        <v>175</v>
      </c>
      <c r="E113" s="54" t="s">
        <v>127</v>
      </c>
      <c r="F113" s="146">
        <v>1</v>
      </c>
      <c r="G113" s="147">
        <v>5750</v>
      </c>
      <c r="H113" s="147">
        <f t="shared" si="36"/>
        <v>5750</v>
      </c>
      <c r="I113" s="148">
        <f t="shared" si="37"/>
        <v>235.377914592612</v>
      </c>
    </row>
    <row r="114" spans="2:9" ht="43.2" x14ac:dyDescent="0.3">
      <c r="B114" s="157" t="s">
        <v>207</v>
      </c>
      <c r="C114" s="128" t="s">
        <v>175</v>
      </c>
      <c r="D114" s="128" t="s">
        <v>175</v>
      </c>
      <c r="E114" s="54" t="s">
        <v>127</v>
      </c>
      <c r="F114" s="146">
        <v>1580</v>
      </c>
      <c r="G114" s="147">
        <v>50</v>
      </c>
      <c r="H114" s="147">
        <f t="shared" si="36"/>
        <v>79000</v>
      </c>
      <c r="I114" s="148">
        <f t="shared" si="37"/>
        <v>3233.8878700550172</v>
      </c>
    </row>
    <row r="115" spans="2:9" ht="72" x14ac:dyDescent="0.3">
      <c r="B115" s="158" t="s">
        <v>208</v>
      </c>
      <c r="C115" s="128" t="s">
        <v>175</v>
      </c>
      <c r="D115" s="128" t="s">
        <v>175</v>
      </c>
      <c r="E115" s="54" t="s">
        <v>127</v>
      </c>
      <c r="F115" s="146">
        <v>194</v>
      </c>
      <c r="G115" s="147">
        <v>1660</v>
      </c>
      <c r="H115" s="147">
        <f>G115*F115</f>
        <v>322040</v>
      </c>
      <c r="I115" s="148">
        <f>H115/24.4288</f>
        <v>13182.800628766046</v>
      </c>
    </row>
    <row r="116" spans="2:9" ht="72" x14ac:dyDescent="0.3">
      <c r="B116" s="159" t="s">
        <v>209</v>
      </c>
      <c r="C116" s="128" t="s">
        <v>175</v>
      </c>
      <c r="D116" s="128" t="s">
        <v>175</v>
      </c>
      <c r="E116" s="54" t="s">
        <v>127</v>
      </c>
      <c r="F116" s="146">
        <v>120</v>
      </c>
      <c r="G116" s="147">
        <v>1320</v>
      </c>
      <c r="H116" s="147">
        <f t="shared" ref="H116:H119" si="38">G116*F116</f>
        <v>158400</v>
      </c>
      <c r="I116" s="148">
        <f t="shared" ref="I116:I119" si="39">H116/24.4288</f>
        <v>6484.1498559077809</v>
      </c>
    </row>
    <row r="117" spans="2:9" ht="86.4" x14ac:dyDescent="0.3">
      <c r="B117" s="159" t="s">
        <v>210</v>
      </c>
      <c r="C117" s="128" t="s">
        <v>175</v>
      </c>
      <c r="D117" s="128" t="s">
        <v>175</v>
      </c>
      <c r="E117" s="54" t="s">
        <v>127</v>
      </c>
      <c r="F117" s="146">
        <v>148</v>
      </c>
      <c r="G117" s="147">
        <v>1320</v>
      </c>
      <c r="H117" s="147">
        <f t="shared" si="38"/>
        <v>195360</v>
      </c>
      <c r="I117" s="148">
        <f t="shared" si="39"/>
        <v>7997.118155619597</v>
      </c>
    </row>
    <row r="118" spans="2:9" ht="86.4" x14ac:dyDescent="0.3">
      <c r="B118" s="160" t="s">
        <v>211</v>
      </c>
      <c r="C118" s="128" t="s">
        <v>175</v>
      </c>
      <c r="D118" s="128" t="s">
        <v>175</v>
      </c>
      <c r="E118" s="54" t="s">
        <v>127</v>
      </c>
      <c r="F118" s="146">
        <v>125</v>
      </c>
      <c r="G118" s="147">
        <v>14840</v>
      </c>
      <c r="H118" s="147">
        <f t="shared" si="38"/>
        <v>1855000</v>
      </c>
      <c r="I118" s="148">
        <f t="shared" si="39"/>
        <v>75934.962012051357</v>
      </c>
    </row>
    <row r="119" spans="2:9" ht="57.6" x14ac:dyDescent="0.3">
      <c r="B119" s="160" t="s">
        <v>212</v>
      </c>
      <c r="C119" s="128" t="s">
        <v>175</v>
      </c>
      <c r="D119" s="128" t="s">
        <v>175</v>
      </c>
      <c r="E119" s="54" t="s">
        <v>127</v>
      </c>
      <c r="F119" s="146">
        <v>50</v>
      </c>
      <c r="G119" s="147">
        <v>55385</v>
      </c>
      <c r="H119" s="147">
        <f t="shared" si="38"/>
        <v>2769250</v>
      </c>
      <c r="I119" s="148">
        <f t="shared" si="39"/>
        <v>113360.05043227666</v>
      </c>
    </row>
    <row r="120" spans="2:9" ht="57.6" x14ac:dyDescent="0.3">
      <c r="B120" s="161" t="s">
        <v>214</v>
      </c>
      <c r="C120" s="128"/>
      <c r="D120" s="128" t="s">
        <v>175</v>
      </c>
      <c r="E120" s="54" t="s">
        <v>127</v>
      </c>
      <c r="F120" s="162">
        <v>10000</v>
      </c>
      <c r="G120" s="163">
        <v>99.5</v>
      </c>
      <c r="H120" s="147">
        <v>995000</v>
      </c>
      <c r="I120" s="164">
        <v>40064.26388458271</v>
      </c>
    </row>
    <row r="121" spans="2:9" ht="43.2" x14ac:dyDescent="0.3">
      <c r="B121" s="161" t="s">
        <v>215</v>
      </c>
      <c r="C121" s="128"/>
      <c r="D121" s="128" t="s">
        <v>175</v>
      </c>
      <c r="E121" s="54" t="s">
        <v>127</v>
      </c>
      <c r="F121" s="162">
        <v>164</v>
      </c>
      <c r="G121" s="163">
        <v>207</v>
      </c>
      <c r="H121" s="147">
        <v>33948</v>
      </c>
      <c r="I121" s="164">
        <v>1366.9363119133807</v>
      </c>
    </row>
    <row r="122" spans="2:9" ht="43.2" x14ac:dyDescent="0.3">
      <c r="B122" s="161" t="s">
        <v>216</v>
      </c>
      <c r="C122" s="128"/>
      <c r="D122" s="128" t="s">
        <v>175</v>
      </c>
      <c r="E122" s="54" t="s">
        <v>127</v>
      </c>
      <c r="F122" s="162">
        <v>50694</v>
      </c>
      <c r="G122" s="163">
        <v>20.51</v>
      </c>
      <c r="H122" s="147">
        <v>1039733.9400000001</v>
      </c>
      <c r="I122" s="164">
        <v>41865.502454187823</v>
      </c>
    </row>
    <row r="123" spans="2:9" ht="43.2" x14ac:dyDescent="0.3">
      <c r="B123" s="161" t="s">
        <v>217</v>
      </c>
      <c r="C123" s="128"/>
      <c r="D123" s="128" t="s">
        <v>175</v>
      </c>
      <c r="E123" s="54" t="s">
        <v>127</v>
      </c>
      <c r="F123" s="162">
        <v>2</v>
      </c>
      <c r="G123" s="163">
        <v>632.5</v>
      </c>
      <c r="H123" s="147">
        <v>1265</v>
      </c>
      <c r="I123" s="164">
        <v>50.93597368240917</v>
      </c>
    </row>
    <row r="124" spans="2:9" ht="72" x14ac:dyDescent="0.3">
      <c r="B124" s="161" t="s">
        <v>218</v>
      </c>
      <c r="C124" s="128"/>
      <c r="D124" s="128" t="s">
        <v>175</v>
      </c>
      <c r="E124" s="54" t="s">
        <v>127</v>
      </c>
      <c r="F124" s="162">
        <v>1</v>
      </c>
      <c r="G124" s="163">
        <v>1098701.48</v>
      </c>
      <c r="H124" s="147">
        <v>1098701.48</v>
      </c>
      <c r="I124" s="164">
        <v>44239.86535186087</v>
      </c>
    </row>
    <row r="125" spans="2:9" ht="72" x14ac:dyDescent="0.3">
      <c r="B125" s="161" t="s">
        <v>219</v>
      </c>
      <c r="C125" s="128"/>
      <c r="D125" s="128" t="s">
        <v>175</v>
      </c>
      <c r="E125" s="54" t="s">
        <v>127</v>
      </c>
      <c r="F125" s="162">
        <v>1</v>
      </c>
      <c r="G125" s="163">
        <v>958740.05</v>
      </c>
      <c r="H125" s="147">
        <v>958740.05</v>
      </c>
      <c r="I125" s="164">
        <v>38604.235537606051</v>
      </c>
    </row>
    <row r="126" spans="2:9" ht="72" x14ac:dyDescent="0.3">
      <c r="B126" s="161" t="s">
        <v>220</v>
      </c>
      <c r="C126" s="128"/>
      <c r="D126" s="128" t="s">
        <v>175</v>
      </c>
      <c r="E126" s="54" t="s">
        <v>127</v>
      </c>
      <c r="F126" s="162">
        <v>1</v>
      </c>
      <c r="G126" s="163">
        <v>994122.87050000008</v>
      </c>
      <c r="H126" s="147">
        <v>994122.87050000008</v>
      </c>
      <c r="I126" s="164">
        <v>40028.945746141551</v>
      </c>
    </row>
    <row r="127" spans="2:9" ht="72" x14ac:dyDescent="0.3">
      <c r="B127" s="161" t="s">
        <v>234</v>
      </c>
      <c r="C127" s="128"/>
      <c r="D127" s="128" t="s">
        <v>175</v>
      </c>
      <c r="E127" s="54" t="s">
        <v>127</v>
      </c>
      <c r="F127" s="162">
        <v>1</v>
      </c>
      <c r="G127" s="163">
        <v>3979000</v>
      </c>
      <c r="H127" s="147">
        <v>3979000</v>
      </c>
      <c r="I127" s="164">
        <v>165106.47479626219</v>
      </c>
    </row>
    <row r="128" spans="2:9" ht="100.8" x14ac:dyDescent="0.3">
      <c r="B128" s="161" t="s">
        <v>235</v>
      </c>
      <c r="C128" s="128"/>
      <c r="D128" s="128" t="s">
        <v>175</v>
      </c>
      <c r="E128" s="54" t="s">
        <v>127</v>
      </c>
      <c r="F128" s="162">
        <v>1</v>
      </c>
      <c r="G128" s="163">
        <v>70000</v>
      </c>
      <c r="H128" s="147">
        <v>80500</v>
      </c>
      <c r="I128" s="164">
        <v>3340.3044033925876</v>
      </c>
    </row>
    <row r="129" spans="2:9" ht="86.4" x14ac:dyDescent="0.3">
      <c r="B129" s="161" t="s">
        <v>236</v>
      </c>
      <c r="C129" s="128"/>
      <c r="D129" s="128" t="s">
        <v>175</v>
      </c>
      <c r="E129" s="54" t="s">
        <v>127</v>
      </c>
      <c r="F129" s="162">
        <v>12</v>
      </c>
      <c r="G129" s="163">
        <v>69000</v>
      </c>
      <c r="H129" s="147">
        <v>952200</v>
      </c>
      <c r="I129" s="164">
        <v>39511.029228700892</v>
      </c>
    </row>
    <row r="130" spans="2:9" ht="86.4" x14ac:dyDescent="0.3">
      <c r="B130" s="161" t="s">
        <v>237</v>
      </c>
      <c r="C130" s="128"/>
      <c r="D130" s="128" t="s">
        <v>175</v>
      </c>
      <c r="E130" s="54" t="s">
        <v>127</v>
      </c>
      <c r="F130" s="162">
        <v>8</v>
      </c>
      <c r="G130" s="163">
        <v>266304.34000000003</v>
      </c>
      <c r="H130" s="147">
        <v>2449999.9280000003</v>
      </c>
      <c r="I130" s="164">
        <v>101661.43537652079</v>
      </c>
    </row>
    <row r="131" spans="2:9" ht="86.4" x14ac:dyDescent="0.3">
      <c r="B131" s="161" t="s">
        <v>238</v>
      </c>
      <c r="C131" s="128"/>
      <c r="D131" s="128" t="s">
        <v>175</v>
      </c>
      <c r="E131" s="54" t="s">
        <v>127</v>
      </c>
      <c r="F131" s="162">
        <v>32</v>
      </c>
      <c r="G131" s="163">
        <v>7267.14</v>
      </c>
      <c r="H131" s="147">
        <v>267430.75199999998</v>
      </c>
      <c r="I131" s="164">
        <v>11096.895882089329</v>
      </c>
    </row>
    <row r="132" spans="2:9" ht="86.4" x14ac:dyDescent="0.3">
      <c r="B132" s="161" t="s">
        <v>239</v>
      </c>
      <c r="C132" s="128"/>
      <c r="D132" s="128" t="s">
        <v>175</v>
      </c>
      <c r="E132" s="54" t="s">
        <v>127</v>
      </c>
      <c r="F132" s="162">
        <v>40</v>
      </c>
      <c r="G132" s="163">
        <v>600</v>
      </c>
      <c r="H132" s="147">
        <v>27600</v>
      </c>
      <c r="I132" s="164">
        <v>1145.2472240203158</v>
      </c>
    </row>
    <row r="133" spans="2:9" ht="72" x14ac:dyDescent="0.3">
      <c r="B133" s="161" t="s">
        <v>240</v>
      </c>
      <c r="C133" s="128"/>
      <c r="D133" s="128" t="s">
        <v>175</v>
      </c>
      <c r="E133" s="54" t="s">
        <v>127</v>
      </c>
      <c r="F133" s="162">
        <v>1</v>
      </c>
      <c r="G133" s="163">
        <v>175043.48</v>
      </c>
      <c r="H133" s="147">
        <v>201300</v>
      </c>
      <c r="I133" s="164">
        <v>8352.8357317133905</v>
      </c>
    </row>
    <row r="134" spans="2:9" ht="187.2" x14ac:dyDescent="0.3">
      <c r="B134" s="161" t="s">
        <v>241</v>
      </c>
      <c r="C134" s="128"/>
      <c r="D134" s="128" t="s">
        <v>175</v>
      </c>
      <c r="E134" s="54" t="s">
        <v>127</v>
      </c>
      <c r="F134" s="162">
        <v>4</v>
      </c>
      <c r="G134" s="163">
        <v>558512.5</v>
      </c>
      <c r="H134" s="147">
        <v>2567501.5</v>
      </c>
      <c r="I134" s="164">
        <v>106537.10020083321</v>
      </c>
    </row>
    <row r="135" spans="2:9" ht="86.4" x14ac:dyDescent="0.3">
      <c r="B135" s="161" t="s">
        <v>242</v>
      </c>
      <c r="C135" s="128"/>
      <c r="D135" s="128" t="s">
        <v>175</v>
      </c>
      <c r="E135" s="54" t="s">
        <v>127</v>
      </c>
      <c r="F135" s="162">
        <v>1</v>
      </c>
      <c r="G135" s="163">
        <v>1399426.1</v>
      </c>
      <c r="H135" s="147">
        <v>1399426.1</v>
      </c>
      <c r="I135" s="164">
        <v>58068.43682052815</v>
      </c>
    </row>
    <row r="136" spans="2:9" ht="72" x14ac:dyDescent="0.3">
      <c r="B136" s="161" t="s">
        <v>243</v>
      </c>
      <c r="C136" s="128"/>
      <c r="D136" s="128" t="s">
        <v>175</v>
      </c>
      <c r="E136" s="54" t="s">
        <v>127</v>
      </c>
      <c r="F136" s="162">
        <v>1</v>
      </c>
      <c r="G136" s="163">
        <v>1704689.78</v>
      </c>
      <c r="H136" s="147">
        <v>1704689.78</v>
      </c>
      <c r="I136" s="164">
        <v>70735.189795681261</v>
      </c>
    </row>
    <row r="137" spans="2:9" ht="100.8" x14ac:dyDescent="0.3">
      <c r="B137" s="161" t="s">
        <v>244</v>
      </c>
      <c r="C137" s="128"/>
      <c r="D137" s="128" t="s">
        <v>175</v>
      </c>
      <c r="E137" s="54" t="s">
        <v>127</v>
      </c>
      <c r="F137" s="162">
        <v>1</v>
      </c>
      <c r="G137" s="163">
        <v>86656.960000000006</v>
      </c>
      <c r="H137" s="147">
        <v>86656.960000000006</v>
      </c>
      <c r="I137" s="164">
        <v>3595.7841623927375</v>
      </c>
    </row>
    <row r="138" spans="2:9" ht="187.2" x14ac:dyDescent="0.3">
      <c r="B138" s="161" t="s">
        <v>245</v>
      </c>
      <c r="C138" s="128"/>
      <c r="D138" s="128" t="s">
        <v>175</v>
      </c>
      <c r="E138" s="54" t="s">
        <v>127</v>
      </c>
      <c r="F138" s="162">
        <v>1</v>
      </c>
      <c r="G138" s="163">
        <v>1388432.31</v>
      </c>
      <c r="H138" s="147">
        <v>1388432.31</v>
      </c>
      <c r="I138" s="164">
        <v>57612.255390130958</v>
      </c>
    </row>
    <row r="139" spans="2:9" ht="187.2" x14ac:dyDescent="0.3">
      <c r="B139" s="161" t="s">
        <v>246</v>
      </c>
      <c r="C139" s="128"/>
      <c r="D139" s="128" t="s">
        <v>175</v>
      </c>
      <c r="E139" s="54" t="s">
        <v>127</v>
      </c>
      <c r="F139" s="162">
        <v>1</v>
      </c>
      <c r="G139" s="163">
        <v>1499784.43</v>
      </c>
      <c r="H139" s="147">
        <v>1499784.43</v>
      </c>
      <c r="I139" s="164">
        <v>62232.751995883751</v>
      </c>
    </row>
    <row r="140" spans="2:9" ht="72" x14ac:dyDescent="0.3">
      <c r="B140" s="161" t="s">
        <v>247</v>
      </c>
      <c r="C140" s="128"/>
      <c r="D140" s="128" t="s">
        <v>175</v>
      </c>
      <c r="E140" s="54" t="s">
        <v>127</v>
      </c>
      <c r="F140" s="162">
        <v>5380</v>
      </c>
      <c r="G140" s="163">
        <v>50</v>
      </c>
      <c r="H140" s="147">
        <v>269000</v>
      </c>
      <c r="I140" s="164">
        <v>11162.010987734237</v>
      </c>
    </row>
    <row r="141" spans="2:9" ht="86.4" x14ac:dyDescent="0.3">
      <c r="B141" s="161" t="s">
        <v>248</v>
      </c>
      <c r="C141" s="128"/>
      <c r="D141" s="128" t="s">
        <v>175</v>
      </c>
      <c r="E141" s="54" t="s">
        <v>127</v>
      </c>
      <c r="F141" s="162">
        <v>1</v>
      </c>
      <c r="G141" s="163">
        <v>810000.4</v>
      </c>
      <c r="H141" s="147">
        <v>810000.4</v>
      </c>
      <c r="I141" s="164">
        <v>33610.532954903822</v>
      </c>
    </row>
    <row r="142" spans="2:9" ht="230.4" x14ac:dyDescent="0.3">
      <c r="B142" s="161" t="s">
        <v>249</v>
      </c>
      <c r="C142" s="128"/>
      <c r="D142" s="128" t="s">
        <v>175</v>
      </c>
      <c r="E142" s="54" t="s">
        <v>127</v>
      </c>
      <c r="F142" s="162">
        <v>1</v>
      </c>
      <c r="G142" s="163">
        <v>6427120</v>
      </c>
      <c r="H142" s="147">
        <v>6427120</v>
      </c>
      <c r="I142" s="164">
        <v>266689.9035668642</v>
      </c>
    </row>
    <row r="143" spans="2:9" ht="129.6" x14ac:dyDescent="0.3">
      <c r="B143" s="161" t="s">
        <v>250</v>
      </c>
      <c r="C143" s="128"/>
      <c r="D143" s="128" t="s">
        <v>175</v>
      </c>
      <c r="E143" s="54" t="s">
        <v>127</v>
      </c>
      <c r="F143" s="162">
        <v>1</v>
      </c>
      <c r="G143" s="163">
        <v>800981.52</v>
      </c>
      <c r="H143" s="147">
        <v>800981.52</v>
      </c>
      <c r="I143" s="164">
        <v>33236.299357665688</v>
      </c>
    </row>
    <row r="144" spans="2:9" ht="129.6" x14ac:dyDescent="0.3">
      <c r="B144" s="161" t="s">
        <v>251</v>
      </c>
      <c r="C144" s="128"/>
      <c r="D144" s="128" t="s">
        <v>175</v>
      </c>
      <c r="E144" s="54" t="s">
        <v>127</v>
      </c>
      <c r="F144" s="162">
        <v>1</v>
      </c>
      <c r="G144" s="163">
        <v>1405819.92</v>
      </c>
      <c r="H144" s="147">
        <v>1405819.92</v>
      </c>
      <c r="I144" s="164">
        <v>58333.744958422547</v>
      </c>
    </row>
    <row r="145" spans="1:25" ht="57.6" x14ac:dyDescent="0.3">
      <c r="B145" s="161" t="s">
        <v>252</v>
      </c>
      <c r="C145" s="128"/>
      <c r="D145" s="128" t="s">
        <v>175</v>
      </c>
      <c r="E145" s="54" t="s">
        <v>127</v>
      </c>
      <c r="F145" s="162">
        <v>1</v>
      </c>
      <c r="G145" s="163">
        <v>1072500</v>
      </c>
      <c r="H145" s="147">
        <v>1072500</v>
      </c>
      <c r="I145" s="164">
        <v>44502.813324702489</v>
      </c>
    </row>
    <row r="146" spans="1:25" ht="129.6" x14ac:dyDescent="0.3">
      <c r="B146" s="161" t="s">
        <v>253</v>
      </c>
      <c r="C146" s="128"/>
      <c r="D146" s="128" t="s">
        <v>175</v>
      </c>
      <c r="E146" s="54" t="s">
        <v>127</v>
      </c>
      <c r="F146" s="162">
        <v>1</v>
      </c>
      <c r="G146" s="163">
        <v>513880.88</v>
      </c>
      <c r="H146" s="147">
        <v>513880.87999999989</v>
      </c>
      <c r="I146" s="164">
        <v>21323.212003518725</v>
      </c>
    </row>
    <row r="147" spans="1:25" ht="86.4" x14ac:dyDescent="0.3">
      <c r="B147" s="161" t="s">
        <v>225</v>
      </c>
      <c r="C147" s="128"/>
      <c r="D147" s="128" t="s">
        <v>175</v>
      </c>
      <c r="E147" s="54" t="s">
        <v>127</v>
      </c>
      <c r="F147" s="146">
        <v>2</v>
      </c>
      <c r="G147" s="147">
        <v>1713359.98</v>
      </c>
      <c r="H147" s="147">
        <f t="shared" ref="H147" si="40">(F147*G147)</f>
        <v>3426719.96</v>
      </c>
      <c r="I147" s="148">
        <f t="shared" ref="I147" si="41">H147/24.8351</f>
        <v>137978.90727236852</v>
      </c>
    </row>
    <row r="148" spans="1:25" s="119" customFormat="1" x14ac:dyDescent="0.3">
      <c r="A148" s="119">
        <v>1</v>
      </c>
      <c r="B148" s="48" t="s">
        <v>131</v>
      </c>
      <c r="C148" s="29"/>
      <c r="D148" s="54" t="s">
        <v>88</v>
      </c>
      <c r="E148" s="30" t="s">
        <v>43</v>
      </c>
      <c r="F148" s="124">
        <v>1</v>
      </c>
      <c r="G148" s="125"/>
      <c r="H148" s="32">
        <v>7525356.1100000003</v>
      </c>
      <c r="I148" s="33">
        <v>301014.24440000003</v>
      </c>
      <c r="J148" s="34"/>
      <c r="K148" s="35"/>
      <c r="L148" s="36"/>
      <c r="M148" s="36"/>
      <c r="N148" s="36"/>
      <c r="O148" s="36"/>
      <c r="P148" s="36"/>
      <c r="Q148" s="36"/>
      <c r="R148" s="36"/>
      <c r="S148" s="36"/>
      <c r="T148" s="36"/>
      <c r="U148" s="20"/>
      <c r="V148" s="38"/>
      <c r="W148" s="30"/>
      <c r="X148" s="30"/>
    </row>
    <row r="149" spans="1:25" s="1" customFormat="1" x14ac:dyDescent="0.3">
      <c r="B149" s="39" t="s">
        <v>71</v>
      </c>
      <c r="C149" s="51"/>
      <c r="D149" s="186"/>
      <c r="E149" s="187"/>
      <c r="F149" s="187"/>
      <c r="G149" s="188"/>
      <c r="H149" s="43">
        <f>H150+H151</f>
        <v>48285520</v>
      </c>
      <c r="I149" s="44">
        <f>+SUM(I150:I151)</f>
        <v>1931420.8</v>
      </c>
      <c r="J149" s="52"/>
      <c r="K149" s="46"/>
      <c r="L149" s="53">
        <f>SUM(L150:L151)</f>
        <v>48285520</v>
      </c>
      <c r="M149" s="53">
        <f t="shared" si="0"/>
        <v>1931420.8</v>
      </c>
      <c r="N149" s="53">
        <f t="shared" ref="N149:T149" si="42">SUM(N150:N151)</f>
        <v>0</v>
      </c>
      <c r="O149" s="53">
        <f t="shared" si="42"/>
        <v>1931420.8</v>
      </c>
      <c r="P149" s="53">
        <f t="shared" si="42"/>
        <v>0</v>
      </c>
      <c r="Q149" s="53">
        <f t="shared" si="42"/>
        <v>0</v>
      </c>
      <c r="R149" s="53">
        <f t="shared" si="42"/>
        <v>0</v>
      </c>
      <c r="S149" s="53">
        <f t="shared" si="42"/>
        <v>0</v>
      </c>
      <c r="T149" s="53">
        <f t="shared" si="42"/>
        <v>0</v>
      </c>
      <c r="U149" s="20">
        <f t="shared" si="30"/>
        <v>0</v>
      </c>
      <c r="V149" s="51"/>
      <c r="W149" s="41"/>
      <c r="X149" s="41"/>
    </row>
    <row r="150" spans="1:25" s="1" customFormat="1" x14ac:dyDescent="0.3">
      <c r="B150" s="48" t="s">
        <v>72</v>
      </c>
      <c r="C150" s="29"/>
      <c r="D150" s="30" t="s">
        <v>42</v>
      </c>
      <c r="E150" s="54" t="s">
        <v>73</v>
      </c>
      <c r="F150" s="31">
        <v>1000000</v>
      </c>
      <c r="G150" s="32">
        <v>24</v>
      </c>
      <c r="H150" s="32">
        <f t="shared" si="13"/>
        <v>24000000</v>
      </c>
      <c r="I150" s="33">
        <f t="shared" si="4"/>
        <v>960000</v>
      </c>
      <c r="J150" s="55"/>
      <c r="K150" s="35"/>
      <c r="L150" s="36">
        <f>+H150</f>
        <v>24000000</v>
      </c>
      <c r="M150" s="36">
        <f t="shared" si="0"/>
        <v>960000</v>
      </c>
      <c r="N150" s="36"/>
      <c r="O150" s="36">
        <f>+M150</f>
        <v>960000</v>
      </c>
      <c r="P150" s="36"/>
      <c r="Q150" s="36"/>
      <c r="R150" s="36"/>
      <c r="S150" s="36"/>
      <c r="T150" s="36"/>
      <c r="U150" s="20">
        <f t="shared" si="30"/>
        <v>0</v>
      </c>
      <c r="V150" s="38"/>
      <c r="W150" s="30"/>
      <c r="X150" s="30"/>
    </row>
    <row r="151" spans="1:25" s="1" customFormat="1" x14ac:dyDescent="0.3">
      <c r="B151" s="48" t="s">
        <v>74</v>
      </c>
      <c r="C151" s="29"/>
      <c r="D151" s="30" t="s">
        <v>42</v>
      </c>
      <c r="E151" s="54" t="s">
        <v>73</v>
      </c>
      <c r="F151" s="31">
        <v>71428</v>
      </c>
      <c r="G151" s="32">
        <v>340</v>
      </c>
      <c r="H151" s="32">
        <f t="shared" si="13"/>
        <v>24285520</v>
      </c>
      <c r="I151" s="33">
        <f t="shared" si="4"/>
        <v>971420.8</v>
      </c>
      <c r="J151" s="56"/>
      <c r="K151" s="35"/>
      <c r="L151" s="36">
        <f>+H151</f>
        <v>24285520</v>
      </c>
      <c r="M151" s="36">
        <f t="shared" si="0"/>
        <v>971420.8</v>
      </c>
      <c r="N151" s="36"/>
      <c r="O151" s="36">
        <f>+M151</f>
        <v>971420.8</v>
      </c>
      <c r="P151" s="36"/>
      <c r="Q151" s="36"/>
      <c r="R151" s="36"/>
      <c r="S151" s="36"/>
      <c r="T151" s="36"/>
      <c r="U151" s="20">
        <f t="shared" si="30"/>
        <v>0</v>
      </c>
      <c r="V151" s="38"/>
      <c r="W151" s="30"/>
      <c r="X151" s="30"/>
    </row>
    <row r="152" spans="1:25" s="1" customFormat="1" x14ac:dyDescent="0.3">
      <c r="B152" s="39" t="s">
        <v>75</v>
      </c>
      <c r="C152" s="40"/>
      <c r="D152" s="186"/>
      <c r="E152" s="187"/>
      <c r="F152" s="188"/>
      <c r="G152" s="43"/>
      <c r="H152" s="43">
        <f>SUM(H153:H156)</f>
        <v>15905910</v>
      </c>
      <c r="I152" s="44">
        <f>+SUM(I153:I156)</f>
        <v>636236.4</v>
      </c>
      <c r="J152" s="45"/>
      <c r="K152" s="46"/>
      <c r="L152" s="47" t="e">
        <f>+#REF!+#REF!+#REF!</f>
        <v>#REF!</v>
      </c>
      <c r="M152" s="47" t="e">
        <f t="shared" si="0"/>
        <v>#REF!</v>
      </c>
      <c r="N152" s="47" t="e">
        <f>+#REF!+#REF!+#REF!</f>
        <v>#REF!</v>
      </c>
      <c r="O152" s="47" t="e">
        <f>+#REF!+#REF!+#REF!</f>
        <v>#REF!</v>
      </c>
      <c r="P152" s="47" t="e">
        <f>+#REF!+#REF!+#REF!</f>
        <v>#REF!</v>
      </c>
      <c r="Q152" s="47" t="e">
        <f>+#REF!+#REF!+#REF!</f>
        <v>#REF!</v>
      </c>
      <c r="R152" s="47" t="e">
        <f>+#REF!+#REF!+#REF!</f>
        <v>#REF!</v>
      </c>
      <c r="S152" s="47" t="e">
        <f>+#REF!+#REF!+#REF!</f>
        <v>#REF!</v>
      </c>
      <c r="T152" s="47" t="e">
        <f>+#REF!+#REF!+#REF!</f>
        <v>#REF!</v>
      </c>
      <c r="U152" s="20" t="e">
        <f t="shared" si="30"/>
        <v>#REF!</v>
      </c>
      <c r="V152" s="40"/>
      <c r="W152" s="41"/>
      <c r="X152" s="41"/>
    </row>
    <row r="153" spans="1:25" s="57" customFormat="1" x14ac:dyDescent="0.3">
      <c r="B153" s="58" t="s">
        <v>76</v>
      </c>
      <c r="C153" s="59"/>
      <c r="D153" s="60" t="s">
        <v>28</v>
      </c>
      <c r="E153" s="54" t="s">
        <v>73</v>
      </c>
      <c r="F153" s="61">
        <v>3</v>
      </c>
      <c r="G153" s="62">
        <v>3386970</v>
      </c>
      <c r="H153" s="32">
        <f t="shared" si="13"/>
        <v>10160910</v>
      </c>
      <c r="I153" s="63">
        <f>H153/25</f>
        <v>406436.4</v>
      </c>
      <c r="J153" s="64"/>
      <c r="K153" s="65"/>
      <c r="L153" s="66"/>
      <c r="M153" s="66"/>
      <c r="N153" s="66"/>
      <c r="O153" s="66"/>
      <c r="P153" s="66"/>
      <c r="Q153" s="66"/>
      <c r="R153" s="66"/>
      <c r="S153" s="66"/>
      <c r="T153" s="66"/>
      <c r="U153" s="67"/>
      <c r="V153" s="68"/>
      <c r="W153" s="60"/>
      <c r="X153" s="60"/>
    </row>
    <row r="154" spans="1:25" s="57" customFormat="1" x14ac:dyDescent="0.3">
      <c r="B154" s="58" t="s">
        <v>77</v>
      </c>
      <c r="C154" s="59"/>
      <c r="D154" s="60" t="s">
        <v>28</v>
      </c>
      <c r="E154" s="54" t="s">
        <v>73</v>
      </c>
      <c r="F154" s="61">
        <v>3</v>
      </c>
      <c r="G154" s="62">
        <v>615000</v>
      </c>
      <c r="H154" s="32">
        <f t="shared" si="13"/>
        <v>1845000</v>
      </c>
      <c r="I154" s="63">
        <f>H154/25</f>
        <v>73800</v>
      </c>
      <c r="J154" s="64"/>
      <c r="K154" s="65"/>
      <c r="L154" s="66"/>
      <c r="M154" s="66"/>
      <c r="N154" s="66"/>
      <c r="O154" s="66"/>
      <c r="P154" s="66"/>
      <c r="Q154" s="66"/>
      <c r="R154" s="66"/>
      <c r="S154" s="66"/>
      <c r="T154" s="66"/>
      <c r="U154" s="67"/>
      <c r="V154" s="68"/>
      <c r="W154" s="60"/>
      <c r="X154" s="60"/>
    </row>
    <row r="155" spans="1:25" s="57" customFormat="1" x14ac:dyDescent="0.3">
      <c r="B155" s="58" t="s">
        <v>78</v>
      </c>
      <c r="C155" s="59"/>
      <c r="D155" s="60" t="s">
        <v>28</v>
      </c>
      <c r="E155" s="54" t="s">
        <v>73</v>
      </c>
      <c r="F155" s="61">
        <v>3</v>
      </c>
      <c r="G155" s="62">
        <v>300000</v>
      </c>
      <c r="H155" s="32">
        <f t="shared" si="13"/>
        <v>900000</v>
      </c>
      <c r="I155" s="63">
        <f>H155/25</f>
        <v>36000</v>
      </c>
      <c r="J155" s="64"/>
      <c r="K155" s="65"/>
      <c r="L155" s="66"/>
      <c r="M155" s="66"/>
      <c r="N155" s="66"/>
      <c r="O155" s="66"/>
      <c r="P155" s="66"/>
      <c r="Q155" s="66"/>
      <c r="R155" s="66"/>
      <c r="S155" s="66"/>
      <c r="T155" s="66"/>
      <c r="U155" s="67"/>
      <c r="V155" s="68"/>
      <c r="W155" s="60"/>
      <c r="X155" s="60"/>
    </row>
    <row r="156" spans="1:25" s="57" customFormat="1" x14ac:dyDescent="0.3">
      <c r="B156" s="58" t="s">
        <v>79</v>
      </c>
      <c r="C156" s="59"/>
      <c r="D156" s="60" t="s">
        <v>28</v>
      </c>
      <c r="E156" s="54" t="s">
        <v>73</v>
      </c>
      <c r="F156" s="61">
        <v>3</v>
      </c>
      <c r="G156" s="69">
        <v>1000000</v>
      </c>
      <c r="H156" s="32">
        <f t="shared" si="13"/>
        <v>3000000</v>
      </c>
      <c r="I156" s="63">
        <f>H156/25</f>
        <v>120000</v>
      </c>
      <c r="J156" s="64"/>
      <c r="K156" s="65"/>
      <c r="L156" s="66"/>
      <c r="M156" s="66"/>
      <c r="N156" s="66"/>
      <c r="O156" s="66"/>
      <c r="P156" s="66"/>
      <c r="Q156" s="66"/>
      <c r="R156" s="66"/>
      <c r="S156" s="66"/>
      <c r="T156" s="66"/>
      <c r="U156" s="67"/>
      <c r="V156" s="68"/>
      <c r="W156" s="60"/>
      <c r="X156" s="60"/>
    </row>
    <row r="157" spans="1:25" s="1" customFormat="1" x14ac:dyDescent="0.3">
      <c r="B157" s="39" t="s">
        <v>80</v>
      </c>
      <c r="C157" s="51"/>
      <c r="D157" s="41"/>
      <c r="E157" s="41"/>
      <c r="F157" s="70"/>
      <c r="G157" s="71"/>
      <c r="H157" s="72">
        <f>+H158</f>
        <v>784453967.91064</v>
      </c>
      <c r="I157" s="73">
        <f>+I158</f>
        <v>31620094.107159059</v>
      </c>
      <c r="J157" s="52"/>
      <c r="K157" s="46"/>
      <c r="L157" s="53" t="e">
        <f>+L158+#REF!</f>
        <v>#REF!</v>
      </c>
      <c r="M157" s="53" t="e">
        <f t="shared" ref="M157:M162" si="43">+L157/$M$2</f>
        <v>#REF!</v>
      </c>
      <c r="N157" s="53" t="e">
        <f>+N158+#REF!</f>
        <v>#REF!</v>
      </c>
      <c r="O157" s="53" t="e">
        <f>+O158+#REF!</f>
        <v>#REF!</v>
      </c>
      <c r="P157" s="53" t="e">
        <f>+P158+#REF!</f>
        <v>#REF!</v>
      </c>
      <c r="Q157" s="53" t="e">
        <f>+Q158+#REF!</f>
        <v>#REF!</v>
      </c>
      <c r="R157" s="53" t="e">
        <f>+R158+#REF!</f>
        <v>#REF!</v>
      </c>
      <c r="S157" s="53" t="e">
        <f>+S158+#REF!</f>
        <v>#REF!</v>
      </c>
      <c r="T157" s="53" t="e">
        <f>+T158+#REF!</f>
        <v>#REF!</v>
      </c>
      <c r="U157" s="20" t="e">
        <f t="shared" ref="U157:U162" si="44">M157-SUM(O157:T157)</f>
        <v>#REF!</v>
      </c>
      <c r="V157" s="51"/>
      <c r="W157" s="41"/>
      <c r="X157" s="41"/>
    </row>
    <row r="158" spans="1:25" s="1" customFormat="1" x14ac:dyDescent="0.3">
      <c r="A158" s="6"/>
      <c r="B158" s="74" t="s">
        <v>81</v>
      </c>
      <c r="C158" s="75"/>
      <c r="D158" s="75"/>
      <c r="E158" s="75"/>
      <c r="F158" s="76"/>
      <c r="G158" s="77"/>
      <c r="H158" s="77">
        <f>SUM(H159:H221)</f>
        <v>784453967.91064</v>
      </c>
      <c r="I158" s="78">
        <f>+SUM(I159:I221)</f>
        <v>31620094.107159059</v>
      </c>
      <c r="J158" s="79"/>
      <c r="K158" s="80"/>
      <c r="L158" s="81">
        <f>SUM(L159:L162)</f>
        <v>66458000</v>
      </c>
      <c r="M158" s="81">
        <f t="shared" si="43"/>
        <v>2658320</v>
      </c>
      <c r="N158" s="81">
        <f t="shared" ref="N158:T158" si="45">SUM(N159:N162)</f>
        <v>0</v>
      </c>
      <c r="O158" s="81">
        <f t="shared" si="45"/>
        <v>1063328</v>
      </c>
      <c r="P158" s="81">
        <f t="shared" si="45"/>
        <v>1594992</v>
      </c>
      <c r="Q158" s="81">
        <f t="shared" si="45"/>
        <v>0</v>
      </c>
      <c r="R158" s="81">
        <f t="shared" si="45"/>
        <v>0</v>
      </c>
      <c r="S158" s="81">
        <f t="shared" si="45"/>
        <v>0</v>
      </c>
      <c r="T158" s="81">
        <f t="shared" si="45"/>
        <v>0</v>
      </c>
      <c r="U158" s="20">
        <f t="shared" si="44"/>
        <v>0</v>
      </c>
      <c r="V158" s="75"/>
      <c r="W158" s="75"/>
      <c r="X158" s="75"/>
      <c r="Y158" s="82"/>
    </row>
    <row r="159" spans="1:25" s="1" customFormat="1" x14ac:dyDescent="0.3">
      <c r="B159" s="83" t="s">
        <v>82</v>
      </c>
      <c r="C159" s="84"/>
      <c r="D159" s="30" t="s">
        <v>42</v>
      </c>
      <c r="E159" s="85" t="s">
        <v>73</v>
      </c>
      <c r="F159" s="30">
        <v>180</v>
      </c>
      <c r="G159" s="32">
        <f>299*25</f>
        <v>7475</v>
      </c>
      <c r="H159" s="32">
        <f>G159*F159</f>
        <v>1345500</v>
      </c>
      <c r="I159" s="86">
        <f t="shared" ref="I159:I162" si="46">+H159/25</f>
        <v>53820</v>
      </c>
      <c r="J159" s="87">
        <v>43906</v>
      </c>
      <c r="K159" s="88" t="s">
        <v>83</v>
      </c>
      <c r="L159" s="36">
        <f>H159</f>
        <v>1345500</v>
      </c>
      <c r="M159" s="36">
        <f t="shared" si="43"/>
        <v>53820</v>
      </c>
      <c r="N159" s="36"/>
      <c r="O159" s="36">
        <f>M159*40%</f>
        <v>21528</v>
      </c>
      <c r="P159" s="36">
        <f>+M159*0.6</f>
        <v>32292</v>
      </c>
      <c r="Q159" s="36"/>
      <c r="R159" s="36"/>
      <c r="S159" s="36"/>
      <c r="T159" s="36"/>
      <c r="U159" s="20">
        <f t="shared" si="44"/>
        <v>0</v>
      </c>
      <c r="V159" s="38"/>
      <c r="W159" s="30"/>
      <c r="X159" s="30"/>
      <c r="Y159" s="82"/>
    </row>
    <row r="160" spans="1:25" s="1" customFormat="1" x14ac:dyDescent="0.3">
      <c r="B160" s="29" t="s">
        <v>84</v>
      </c>
      <c r="C160" s="84"/>
      <c r="D160" s="30" t="s">
        <v>42</v>
      </c>
      <c r="E160" s="85" t="s">
        <v>73</v>
      </c>
      <c r="F160" s="30">
        <v>180</v>
      </c>
      <c r="G160" s="32">
        <f>3900*25</f>
        <v>97500</v>
      </c>
      <c r="H160" s="32">
        <f>G160*F160</f>
        <v>17550000</v>
      </c>
      <c r="I160" s="86">
        <f t="shared" si="46"/>
        <v>702000</v>
      </c>
      <c r="J160" s="87">
        <v>43906</v>
      </c>
      <c r="K160" s="88" t="s">
        <v>83</v>
      </c>
      <c r="L160" s="36">
        <f>H160</f>
        <v>17550000</v>
      </c>
      <c r="M160" s="36">
        <f t="shared" si="43"/>
        <v>702000</v>
      </c>
      <c r="N160" s="36"/>
      <c r="O160" s="36">
        <f>M160*40%</f>
        <v>280800</v>
      </c>
      <c r="P160" s="36">
        <f>+M160*0.6</f>
        <v>421200</v>
      </c>
      <c r="Q160" s="36"/>
      <c r="R160" s="36"/>
      <c r="S160" s="36"/>
      <c r="T160" s="36"/>
      <c r="U160" s="20">
        <f t="shared" si="44"/>
        <v>0</v>
      </c>
      <c r="V160" s="38"/>
      <c r="W160" s="30"/>
      <c r="X160" s="30"/>
    </row>
    <row r="161" spans="2:25" s="1" customFormat="1" x14ac:dyDescent="0.3">
      <c r="B161" s="29" t="s">
        <v>85</v>
      </c>
      <c r="C161" s="84"/>
      <c r="D161" s="30" t="s">
        <v>42</v>
      </c>
      <c r="E161" s="85" t="s">
        <v>73</v>
      </c>
      <c r="F161" s="30">
        <v>40</v>
      </c>
      <c r="G161" s="32">
        <f>15500*25</f>
        <v>387500</v>
      </c>
      <c r="H161" s="32">
        <f>G161*F161</f>
        <v>15500000</v>
      </c>
      <c r="I161" s="86">
        <f t="shared" si="46"/>
        <v>620000</v>
      </c>
      <c r="J161" s="87">
        <v>43899</v>
      </c>
      <c r="K161" s="88" t="s">
        <v>83</v>
      </c>
      <c r="L161" s="36">
        <f>H161</f>
        <v>15500000</v>
      </c>
      <c r="M161" s="36">
        <f t="shared" si="43"/>
        <v>620000</v>
      </c>
      <c r="N161" s="36"/>
      <c r="O161" s="36">
        <f>M161*40%</f>
        <v>248000</v>
      </c>
      <c r="P161" s="36">
        <f>+M161*0.6</f>
        <v>372000</v>
      </c>
      <c r="Q161" s="36"/>
      <c r="R161" s="36"/>
      <c r="S161" s="36"/>
      <c r="T161" s="36"/>
      <c r="U161" s="20">
        <f t="shared" si="44"/>
        <v>0</v>
      </c>
      <c r="V161" s="38"/>
      <c r="W161" s="30"/>
      <c r="X161" s="30"/>
    </row>
    <row r="162" spans="2:25" s="1" customFormat="1" x14ac:dyDescent="0.3">
      <c r="B162" s="29" t="s">
        <v>86</v>
      </c>
      <c r="C162" s="84"/>
      <c r="D162" s="30" t="s">
        <v>42</v>
      </c>
      <c r="E162" s="85" t="s">
        <v>73</v>
      </c>
      <c r="F162" s="30">
        <v>90</v>
      </c>
      <c r="G162" s="32">
        <f>14250*25</f>
        <v>356250</v>
      </c>
      <c r="H162" s="32">
        <f>G162*F162</f>
        <v>32062500</v>
      </c>
      <c r="I162" s="86">
        <f t="shared" si="46"/>
        <v>1282500</v>
      </c>
      <c r="J162" s="87">
        <v>43902</v>
      </c>
      <c r="K162" s="88" t="s">
        <v>83</v>
      </c>
      <c r="L162" s="36">
        <f>H162</f>
        <v>32062500</v>
      </c>
      <c r="M162" s="36">
        <f t="shared" si="43"/>
        <v>1282500</v>
      </c>
      <c r="N162" s="36"/>
      <c r="O162" s="36">
        <f>M162*40%</f>
        <v>513000</v>
      </c>
      <c r="P162" s="36">
        <f>+M162*0.6</f>
        <v>769500</v>
      </c>
      <c r="Q162" s="36"/>
      <c r="R162" s="36"/>
      <c r="S162" s="36"/>
      <c r="T162" s="36"/>
      <c r="U162" s="20">
        <f t="shared" si="44"/>
        <v>0</v>
      </c>
      <c r="V162" s="38"/>
      <c r="W162" s="30"/>
      <c r="X162" s="30"/>
    </row>
    <row r="163" spans="2:25" s="1" customFormat="1" x14ac:dyDescent="0.3">
      <c r="B163" s="28" t="s">
        <v>87</v>
      </c>
      <c r="C163" s="99" t="s">
        <v>88</v>
      </c>
      <c r="D163" s="54" t="s">
        <v>88</v>
      </c>
      <c r="E163" s="54" t="s">
        <v>73</v>
      </c>
      <c r="F163" s="102">
        <v>450</v>
      </c>
      <c r="G163" s="100">
        <v>760626.57</v>
      </c>
      <c r="H163" s="100">
        <v>342281956.5</v>
      </c>
      <c r="I163" s="101">
        <v>13834525.875</v>
      </c>
      <c r="J163" s="36" t="e">
        <f>+#REF!/24.741141-0.07</f>
        <v>#REF!</v>
      </c>
      <c r="K163" s="88"/>
      <c r="L163" s="36"/>
      <c r="M163" s="36"/>
      <c r="N163" s="36"/>
      <c r="O163" s="36"/>
      <c r="P163" s="36"/>
      <c r="Q163" s="36"/>
      <c r="R163" s="36"/>
      <c r="S163" s="36"/>
      <c r="T163" s="36"/>
      <c r="U163" s="20"/>
      <c r="V163" s="38"/>
      <c r="W163" s="30"/>
      <c r="X163" s="30"/>
      <c r="Y163" s="82"/>
    </row>
    <row r="164" spans="2:25" s="1" customFormat="1" x14ac:dyDescent="0.3">
      <c r="B164" s="28" t="s">
        <v>124</v>
      </c>
      <c r="C164" s="99" t="s">
        <v>88</v>
      </c>
      <c r="D164" s="54" t="s">
        <v>88</v>
      </c>
      <c r="E164" s="54" t="s">
        <v>73</v>
      </c>
      <c r="F164" s="102">
        <v>250000</v>
      </c>
      <c r="G164" s="100">
        <v>185.975424</v>
      </c>
      <c r="H164" s="100">
        <v>46493855.979999997</v>
      </c>
      <c r="I164" s="101">
        <v>1875032</v>
      </c>
      <c r="J164" s="93"/>
      <c r="K164" s="94"/>
      <c r="L164" s="95"/>
      <c r="M164" s="95"/>
      <c r="N164" s="95"/>
      <c r="O164" s="95"/>
      <c r="P164" s="95"/>
      <c r="Q164" s="95"/>
      <c r="R164" s="95"/>
      <c r="S164" s="95"/>
      <c r="T164" s="95"/>
      <c r="U164" s="96"/>
      <c r="V164" s="97"/>
      <c r="W164" s="54"/>
      <c r="X164" s="54"/>
    </row>
    <row r="165" spans="2:25" s="1" customFormat="1" x14ac:dyDescent="0.3">
      <c r="B165" s="28" t="s">
        <v>125</v>
      </c>
      <c r="C165" s="99" t="s">
        <v>88</v>
      </c>
      <c r="D165" s="54" t="s">
        <v>88</v>
      </c>
      <c r="E165" s="54" t="s">
        <v>73</v>
      </c>
      <c r="F165" s="102">
        <v>1</v>
      </c>
      <c r="G165" s="100">
        <v>1428425.16</v>
      </c>
      <c r="H165" s="100">
        <v>1428425.16</v>
      </c>
      <c r="I165" s="101">
        <v>57582</v>
      </c>
      <c r="J165" s="116"/>
      <c r="K165" s="88"/>
      <c r="L165" s="36"/>
      <c r="M165" s="36"/>
      <c r="N165" s="36"/>
      <c r="O165" s="36"/>
      <c r="P165" s="36"/>
      <c r="Q165" s="36"/>
      <c r="R165" s="36"/>
      <c r="S165" s="36"/>
      <c r="T165" s="36"/>
      <c r="U165" s="20"/>
      <c r="V165" s="38"/>
      <c r="W165" s="30"/>
      <c r="X165" s="30"/>
      <c r="Y165" s="82"/>
    </row>
    <row r="166" spans="2:25" s="1" customFormat="1" x14ac:dyDescent="0.3">
      <c r="B166" s="28" t="s">
        <v>87</v>
      </c>
      <c r="C166" s="99" t="s">
        <v>88</v>
      </c>
      <c r="D166" s="54" t="s">
        <v>88</v>
      </c>
      <c r="E166" s="54" t="s">
        <v>73</v>
      </c>
      <c r="F166" s="102">
        <v>200</v>
      </c>
      <c r="G166" s="100">
        <v>822345.42</v>
      </c>
      <c r="H166" s="100">
        <v>164469084</v>
      </c>
      <c r="I166" s="101">
        <v>6630000</v>
      </c>
      <c r="J166" s="93"/>
      <c r="K166" s="94"/>
      <c r="L166" s="95"/>
      <c r="M166" s="95"/>
      <c r="N166" s="95"/>
      <c r="O166" s="95"/>
      <c r="P166" s="95"/>
      <c r="Q166" s="95"/>
      <c r="R166" s="95"/>
      <c r="S166" s="95"/>
      <c r="T166" s="95"/>
      <c r="U166" s="96"/>
      <c r="V166" s="97"/>
      <c r="W166" s="54"/>
      <c r="X166" s="54"/>
    </row>
    <row r="167" spans="2:25" s="1" customFormat="1" x14ac:dyDescent="0.3">
      <c r="B167" s="28" t="s">
        <v>87</v>
      </c>
      <c r="C167" s="99" t="s">
        <v>88</v>
      </c>
      <c r="D167" s="54" t="s">
        <v>88</v>
      </c>
      <c r="E167" s="54" t="s">
        <v>73</v>
      </c>
      <c r="F167" s="102">
        <v>90</v>
      </c>
      <c r="G167" s="100">
        <v>741425.64</v>
      </c>
      <c r="H167" s="100">
        <v>66728307.600000001</v>
      </c>
      <c r="I167" s="101">
        <v>2689919.9999999995</v>
      </c>
      <c r="J167" s="116"/>
      <c r="K167" s="88"/>
      <c r="L167" s="36"/>
      <c r="M167" s="36"/>
      <c r="N167" s="36"/>
      <c r="O167" s="36"/>
      <c r="P167" s="36"/>
      <c r="Q167" s="36"/>
      <c r="R167" s="36"/>
      <c r="S167" s="36"/>
      <c r="T167" s="36"/>
      <c r="U167" s="20"/>
      <c r="V167" s="38"/>
      <c r="W167" s="30"/>
      <c r="X167" s="30"/>
      <c r="Y167" s="82"/>
    </row>
    <row r="168" spans="2:25" s="119" customFormat="1" x14ac:dyDescent="0.3">
      <c r="B168" s="28" t="s">
        <v>132</v>
      </c>
      <c r="C168" s="99"/>
      <c r="D168" s="54" t="s">
        <v>88</v>
      </c>
      <c r="E168" s="54" t="s">
        <v>73</v>
      </c>
      <c r="F168" s="102">
        <v>1728</v>
      </c>
      <c r="G168" s="100">
        <v>13105.41963</v>
      </c>
      <c r="H168" s="100">
        <v>22646165.120640002</v>
      </c>
      <c r="I168" s="126">
        <v>905846.60482560005</v>
      </c>
      <c r="J168" s="116"/>
      <c r="K168" s="88"/>
      <c r="L168" s="36"/>
      <c r="M168" s="36"/>
      <c r="N168" s="36"/>
      <c r="O168" s="36"/>
      <c r="P168" s="36"/>
      <c r="Q168" s="36"/>
      <c r="R168" s="36"/>
      <c r="S168" s="36"/>
      <c r="T168" s="36"/>
      <c r="U168" s="20"/>
      <c r="V168" s="38"/>
      <c r="W168" s="30"/>
      <c r="X168" s="30"/>
      <c r="Y168" s="82"/>
    </row>
    <row r="169" spans="2:25" s="119" customFormat="1" x14ac:dyDescent="0.3">
      <c r="B169" s="28" t="s">
        <v>133</v>
      </c>
      <c r="C169" s="99"/>
      <c r="D169" s="54" t="s">
        <v>88</v>
      </c>
      <c r="E169" s="54" t="s">
        <v>73</v>
      </c>
      <c r="F169" s="102">
        <v>350</v>
      </c>
      <c r="G169" s="100">
        <v>52419.839999999997</v>
      </c>
      <c r="H169" s="100">
        <v>18346944</v>
      </c>
      <c r="I169" s="126">
        <v>733877.76000000001</v>
      </c>
      <c r="J169" s="116"/>
      <c r="K169" s="88"/>
      <c r="L169" s="36"/>
      <c r="M169" s="36"/>
      <c r="N169" s="36"/>
      <c r="O169" s="36"/>
      <c r="P169" s="36"/>
      <c r="Q169" s="36"/>
      <c r="R169" s="36"/>
      <c r="S169" s="36"/>
      <c r="T169" s="36"/>
      <c r="U169" s="20"/>
      <c r="V169" s="38"/>
      <c r="W169" s="30"/>
      <c r="X169" s="30"/>
      <c r="Y169" s="82"/>
    </row>
    <row r="170" spans="2:25" s="119" customFormat="1" x14ac:dyDescent="0.3">
      <c r="B170" s="28" t="s">
        <v>134</v>
      </c>
      <c r="C170" s="99"/>
      <c r="D170" s="54" t="s">
        <v>88</v>
      </c>
      <c r="E170" s="54" t="s">
        <v>73</v>
      </c>
      <c r="F170" s="102">
        <v>1</v>
      </c>
      <c r="G170" s="100">
        <v>1042440</v>
      </c>
      <c r="H170" s="100">
        <v>1042440</v>
      </c>
      <c r="I170" s="126">
        <v>41697.599999999999</v>
      </c>
      <c r="J170" s="116"/>
      <c r="K170" s="88"/>
      <c r="L170" s="36"/>
      <c r="M170" s="36"/>
      <c r="N170" s="36"/>
      <c r="O170" s="36"/>
      <c r="P170" s="36"/>
      <c r="Q170" s="36"/>
      <c r="R170" s="36"/>
      <c r="S170" s="36"/>
      <c r="T170" s="36"/>
      <c r="U170" s="20"/>
      <c r="V170" s="38"/>
      <c r="W170" s="30"/>
      <c r="X170" s="30"/>
      <c r="Y170" s="82"/>
    </row>
    <row r="171" spans="2:25" s="119" customFormat="1" x14ac:dyDescent="0.3">
      <c r="B171" s="28" t="s">
        <v>135</v>
      </c>
      <c r="C171" s="99"/>
      <c r="D171" s="54" t="s">
        <v>88</v>
      </c>
      <c r="E171" s="54" t="s">
        <v>73</v>
      </c>
      <c r="F171" s="102">
        <v>4</v>
      </c>
      <c r="G171" s="100">
        <v>1340280</v>
      </c>
      <c r="H171" s="100">
        <v>5361120</v>
      </c>
      <c r="I171" s="126">
        <v>214444.79999999999</v>
      </c>
      <c r="J171" s="116"/>
      <c r="K171" s="88"/>
      <c r="L171" s="36"/>
      <c r="M171" s="36"/>
      <c r="N171" s="36"/>
      <c r="O171" s="36"/>
      <c r="P171" s="36"/>
      <c r="Q171" s="36"/>
      <c r="R171" s="36"/>
      <c r="S171" s="36"/>
      <c r="T171" s="36"/>
      <c r="U171" s="20"/>
      <c r="V171" s="38"/>
      <c r="W171" s="30"/>
      <c r="X171" s="30"/>
      <c r="Y171" s="82"/>
    </row>
    <row r="172" spans="2:25" s="119" customFormat="1" ht="43.2" x14ac:dyDescent="0.3">
      <c r="B172" s="28" t="s">
        <v>138</v>
      </c>
      <c r="C172" s="99"/>
      <c r="D172" s="54" t="s">
        <v>88</v>
      </c>
      <c r="E172" s="54" t="s">
        <v>73</v>
      </c>
      <c r="F172" s="102">
        <v>1</v>
      </c>
      <c r="G172" s="100">
        <v>14568</v>
      </c>
      <c r="H172" s="100">
        <v>14568</v>
      </c>
      <c r="I172" s="126">
        <v>582.72</v>
      </c>
      <c r="J172" s="116"/>
      <c r="K172" s="88"/>
      <c r="L172" s="36"/>
      <c r="M172" s="36"/>
      <c r="N172" s="36"/>
      <c r="O172" s="36"/>
      <c r="P172" s="36"/>
      <c r="Q172" s="36"/>
      <c r="R172" s="36"/>
      <c r="S172" s="36"/>
      <c r="T172" s="36"/>
      <c r="U172" s="20"/>
      <c r="V172" s="38"/>
      <c r="W172" s="30"/>
      <c r="X172" s="30"/>
      <c r="Y172" s="82"/>
    </row>
    <row r="173" spans="2:25" s="119" customFormat="1" ht="43.2" x14ac:dyDescent="0.3">
      <c r="B173" s="28" t="s">
        <v>139</v>
      </c>
      <c r="C173" s="99"/>
      <c r="D173" s="54" t="s">
        <v>88</v>
      </c>
      <c r="E173" s="54" t="s">
        <v>73</v>
      </c>
      <c r="F173" s="102">
        <v>1</v>
      </c>
      <c r="G173" s="100">
        <v>4284</v>
      </c>
      <c r="H173" s="100">
        <v>4284</v>
      </c>
      <c r="I173" s="126">
        <v>171.36</v>
      </c>
      <c r="J173" s="116"/>
      <c r="K173" s="88"/>
      <c r="L173" s="36"/>
      <c r="M173" s="36"/>
      <c r="N173" s="36"/>
      <c r="O173" s="36"/>
      <c r="P173" s="36"/>
      <c r="Q173" s="36"/>
      <c r="R173" s="36"/>
      <c r="S173" s="36"/>
      <c r="T173" s="36"/>
      <c r="U173" s="20"/>
      <c r="V173" s="38"/>
      <c r="W173" s="30"/>
      <c r="X173" s="30"/>
      <c r="Y173" s="82"/>
    </row>
    <row r="174" spans="2:25" s="119" customFormat="1" ht="43.2" x14ac:dyDescent="0.3">
      <c r="B174" s="28" t="s">
        <v>140</v>
      </c>
      <c r="C174" s="99"/>
      <c r="D174" s="54" t="s">
        <v>88</v>
      </c>
      <c r="E174" s="54" t="s">
        <v>73</v>
      </c>
      <c r="F174" s="102">
        <v>1</v>
      </c>
      <c r="G174" s="100">
        <v>12424.06</v>
      </c>
      <c r="H174" s="100">
        <v>12424.06</v>
      </c>
      <c r="I174" s="126">
        <v>496.9624</v>
      </c>
      <c r="J174" s="116"/>
      <c r="K174" s="88"/>
      <c r="L174" s="36"/>
      <c r="M174" s="36"/>
      <c r="N174" s="36"/>
      <c r="O174" s="36"/>
      <c r="P174" s="36"/>
      <c r="Q174" s="36"/>
      <c r="R174" s="36"/>
      <c r="S174" s="36"/>
      <c r="T174" s="36"/>
      <c r="U174" s="20"/>
      <c r="V174" s="38"/>
      <c r="W174" s="30"/>
      <c r="X174" s="30"/>
      <c r="Y174" s="82"/>
    </row>
    <row r="175" spans="2:25" s="119" customFormat="1" ht="43.2" x14ac:dyDescent="0.3">
      <c r="B175" s="28" t="s">
        <v>141</v>
      </c>
      <c r="C175" s="99"/>
      <c r="D175" s="54" t="s">
        <v>88</v>
      </c>
      <c r="E175" s="54" t="s">
        <v>73</v>
      </c>
      <c r="F175" s="102">
        <v>1</v>
      </c>
      <c r="G175" s="100">
        <v>8812.0300000000007</v>
      </c>
      <c r="H175" s="100">
        <v>8812.0300000000007</v>
      </c>
      <c r="I175" s="126">
        <v>352.4812</v>
      </c>
      <c r="J175" s="116"/>
      <c r="K175" s="88"/>
      <c r="L175" s="36"/>
      <c r="M175" s="36"/>
      <c r="N175" s="36"/>
      <c r="O175" s="36"/>
      <c r="P175" s="36"/>
      <c r="Q175" s="36"/>
      <c r="R175" s="36"/>
      <c r="S175" s="36"/>
      <c r="T175" s="36"/>
      <c r="U175" s="20"/>
      <c r="V175" s="38"/>
      <c r="W175" s="30"/>
      <c r="X175" s="30"/>
      <c r="Y175" s="82"/>
    </row>
    <row r="176" spans="2:25" s="119" customFormat="1" ht="28.8" x14ac:dyDescent="0.3">
      <c r="B176" s="28" t="s">
        <v>142</v>
      </c>
      <c r="C176" s="99"/>
      <c r="D176" s="54" t="s">
        <v>88</v>
      </c>
      <c r="E176" s="54" t="s">
        <v>73</v>
      </c>
      <c r="F176" s="102">
        <v>1</v>
      </c>
      <c r="G176" s="100">
        <v>2219844.12</v>
      </c>
      <c r="H176" s="100">
        <v>2219844.12</v>
      </c>
      <c r="I176" s="126">
        <v>88793.764800000004</v>
      </c>
      <c r="J176" s="116"/>
      <c r="K176" s="88"/>
      <c r="L176" s="36"/>
      <c r="M176" s="36"/>
      <c r="N176" s="36"/>
      <c r="O176" s="36"/>
      <c r="P176" s="36"/>
      <c r="Q176" s="36"/>
      <c r="R176" s="36"/>
      <c r="S176" s="36"/>
      <c r="T176" s="36"/>
      <c r="U176" s="20"/>
      <c r="V176" s="38"/>
      <c r="W176" s="30"/>
      <c r="X176" s="30"/>
      <c r="Y176" s="82"/>
    </row>
    <row r="177" spans="2:25" s="119" customFormat="1" ht="43.2" x14ac:dyDescent="0.3">
      <c r="B177" s="28" t="s">
        <v>143</v>
      </c>
      <c r="C177" s="99"/>
      <c r="D177" s="54" t="s">
        <v>88</v>
      </c>
      <c r="E177" s="54" t="s">
        <v>73</v>
      </c>
      <c r="F177" s="102">
        <v>1</v>
      </c>
      <c r="G177" s="100">
        <v>11008.4</v>
      </c>
      <c r="H177" s="100">
        <v>11008.4</v>
      </c>
      <c r="I177" s="126">
        <v>440.33600000000001</v>
      </c>
      <c r="J177" s="116"/>
      <c r="K177" s="88"/>
      <c r="L177" s="36"/>
      <c r="M177" s="36"/>
      <c r="N177" s="36"/>
      <c r="O177" s="36"/>
      <c r="P177" s="36"/>
      <c r="Q177" s="36"/>
      <c r="R177" s="36"/>
      <c r="S177" s="36"/>
      <c r="T177" s="36"/>
      <c r="U177" s="20"/>
      <c r="V177" s="38"/>
      <c r="W177" s="30"/>
      <c r="X177" s="30"/>
      <c r="Y177" s="82"/>
    </row>
    <row r="178" spans="2:25" s="119" customFormat="1" ht="28.8" x14ac:dyDescent="0.3">
      <c r="B178" s="28" t="s">
        <v>159</v>
      </c>
      <c r="C178" s="99"/>
      <c r="D178" s="54" t="s">
        <v>88</v>
      </c>
      <c r="E178" s="54" t="s">
        <v>73</v>
      </c>
      <c r="F178" s="100">
        <v>20000</v>
      </c>
      <c r="G178" s="100">
        <v>868.399</v>
      </c>
      <c r="H178" s="100">
        <v>17367980</v>
      </c>
      <c r="I178" s="126">
        <v>700000</v>
      </c>
      <c r="J178" s="116"/>
      <c r="K178" s="88"/>
      <c r="L178" s="36"/>
      <c r="M178" s="36"/>
      <c r="N178" s="36"/>
      <c r="O178" s="36"/>
      <c r="P178" s="36"/>
      <c r="Q178" s="36"/>
      <c r="R178" s="36"/>
      <c r="S178" s="36"/>
      <c r="T178" s="36"/>
      <c r="U178" s="20"/>
      <c r="V178" s="38"/>
      <c r="W178" s="30"/>
      <c r="X178" s="30"/>
      <c r="Y178" s="82"/>
    </row>
    <row r="179" spans="2:25" s="119" customFormat="1" ht="28.8" x14ac:dyDescent="0.3">
      <c r="B179" s="28" t="s">
        <v>144</v>
      </c>
      <c r="C179" s="99"/>
      <c r="D179" s="54" t="s">
        <v>88</v>
      </c>
      <c r="E179" s="54" t="s">
        <v>73</v>
      </c>
      <c r="F179" s="102">
        <v>2</v>
      </c>
      <c r="G179" s="100">
        <v>105072.655</v>
      </c>
      <c r="H179" s="100">
        <v>210145.31</v>
      </c>
      <c r="I179" s="126">
        <v>7980</v>
      </c>
      <c r="J179" s="116"/>
      <c r="K179" s="88"/>
      <c r="L179" s="36"/>
      <c r="M179" s="36"/>
      <c r="N179" s="36"/>
      <c r="O179" s="36"/>
      <c r="P179" s="36"/>
      <c r="Q179" s="36"/>
      <c r="R179" s="36"/>
      <c r="S179" s="36"/>
      <c r="T179" s="36"/>
      <c r="U179" s="20"/>
      <c r="V179" s="38"/>
      <c r="W179" s="30"/>
      <c r="X179" s="30"/>
      <c r="Y179" s="82"/>
    </row>
    <row r="180" spans="2:25" s="119" customFormat="1" ht="57.6" x14ac:dyDescent="0.3">
      <c r="B180" s="28" t="s">
        <v>145</v>
      </c>
      <c r="C180" s="99"/>
      <c r="D180" s="54" t="s">
        <v>88</v>
      </c>
      <c r="E180" s="54" t="s">
        <v>73</v>
      </c>
      <c r="F180" s="102">
        <v>1</v>
      </c>
      <c r="G180" s="100">
        <v>1</v>
      </c>
      <c r="H180" s="100">
        <v>7812.03</v>
      </c>
      <c r="I180" s="126">
        <v>312.4812</v>
      </c>
      <c r="J180" s="116"/>
      <c r="K180" s="88"/>
      <c r="L180" s="36"/>
      <c r="M180" s="36"/>
      <c r="N180" s="36"/>
      <c r="O180" s="36"/>
      <c r="P180" s="36"/>
      <c r="Q180" s="36"/>
      <c r="R180" s="36"/>
      <c r="S180" s="36"/>
      <c r="T180" s="36"/>
      <c r="U180" s="20"/>
      <c r="V180" s="38"/>
      <c r="W180" s="30"/>
      <c r="X180" s="30"/>
      <c r="Y180" s="82"/>
    </row>
    <row r="181" spans="2:25" s="119" customFormat="1" ht="43.2" x14ac:dyDescent="0.3">
      <c r="B181" s="28" t="s">
        <v>146</v>
      </c>
      <c r="C181" s="99"/>
      <c r="D181" s="54" t="s">
        <v>88</v>
      </c>
      <c r="E181" s="54" t="s">
        <v>73</v>
      </c>
      <c r="F181" s="102">
        <v>1</v>
      </c>
      <c r="G181" s="100">
        <v>1</v>
      </c>
      <c r="H181" s="100">
        <v>5489.13</v>
      </c>
      <c r="I181" s="126">
        <v>219.5652</v>
      </c>
      <c r="J181" s="116"/>
      <c r="K181" s="88"/>
      <c r="L181" s="36"/>
      <c r="M181" s="36"/>
      <c r="N181" s="36"/>
      <c r="O181" s="36"/>
      <c r="P181" s="36"/>
      <c r="Q181" s="36"/>
      <c r="R181" s="36"/>
      <c r="S181" s="36"/>
      <c r="T181" s="36"/>
      <c r="U181" s="20"/>
      <c r="V181" s="38"/>
      <c r="W181" s="30"/>
      <c r="X181" s="30"/>
      <c r="Y181" s="82"/>
    </row>
    <row r="182" spans="2:25" s="119" customFormat="1" ht="43.2" x14ac:dyDescent="0.3">
      <c r="B182" s="28" t="s">
        <v>147</v>
      </c>
      <c r="C182" s="99"/>
      <c r="D182" s="54" t="s">
        <v>88</v>
      </c>
      <c r="E182" s="54" t="s">
        <v>73</v>
      </c>
      <c r="F182" s="102">
        <v>1</v>
      </c>
      <c r="G182" s="100">
        <v>1</v>
      </c>
      <c r="H182" s="100">
        <v>5489.13</v>
      </c>
      <c r="I182" s="126">
        <v>219.5652</v>
      </c>
      <c r="J182" s="116"/>
      <c r="K182" s="88"/>
      <c r="L182" s="36"/>
      <c r="M182" s="36"/>
      <c r="N182" s="36"/>
      <c r="O182" s="36"/>
      <c r="P182" s="36"/>
      <c r="Q182" s="36"/>
      <c r="R182" s="36"/>
      <c r="S182" s="36"/>
      <c r="T182" s="36"/>
      <c r="U182" s="20"/>
      <c r="V182" s="38"/>
      <c r="W182" s="30"/>
      <c r="X182" s="30"/>
      <c r="Y182" s="82"/>
    </row>
    <row r="183" spans="2:25" s="119" customFormat="1" x14ac:dyDescent="0.3">
      <c r="B183" s="28" t="s">
        <v>148</v>
      </c>
      <c r="C183" s="99"/>
      <c r="D183" s="54" t="s">
        <v>88</v>
      </c>
      <c r="E183" s="54" t="s">
        <v>73</v>
      </c>
      <c r="F183" s="102">
        <v>75</v>
      </c>
      <c r="G183" s="100">
        <v>21366.373066666667</v>
      </c>
      <c r="H183" s="100">
        <v>1602477.98</v>
      </c>
      <c r="I183" s="126">
        <v>64500</v>
      </c>
      <c r="J183" s="116"/>
      <c r="K183" s="88"/>
      <c r="L183" s="36"/>
      <c r="M183" s="36"/>
      <c r="N183" s="36"/>
      <c r="O183" s="36"/>
      <c r="P183" s="36"/>
      <c r="Q183" s="36"/>
      <c r="R183" s="36"/>
      <c r="S183" s="36"/>
      <c r="T183" s="36"/>
      <c r="U183" s="20"/>
      <c r="V183" s="38"/>
      <c r="W183" s="30"/>
      <c r="X183" s="30"/>
      <c r="Y183" s="82"/>
    </row>
    <row r="184" spans="2:25" s="119" customFormat="1" ht="28.8" x14ac:dyDescent="0.3">
      <c r="B184" s="28" t="s">
        <v>162</v>
      </c>
      <c r="C184" s="99"/>
      <c r="D184" s="54" t="s">
        <v>88</v>
      </c>
      <c r="E184" s="54" t="s">
        <v>73</v>
      </c>
      <c r="F184" s="102">
        <v>1</v>
      </c>
      <c r="G184" s="100">
        <v>1</v>
      </c>
      <c r="H184" s="100">
        <v>22861.34</v>
      </c>
      <c r="I184" s="100">
        <f>+H184/25</f>
        <v>914.45360000000005</v>
      </c>
      <c r="J184" s="116"/>
      <c r="K184" s="88"/>
      <c r="L184" s="36"/>
      <c r="M184" s="36"/>
      <c r="N184" s="36"/>
      <c r="O184" s="36"/>
      <c r="P184" s="36"/>
      <c r="Q184" s="36"/>
      <c r="R184" s="36"/>
      <c r="S184" s="36"/>
      <c r="T184" s="36"/>
      <c r="U184" s="20"/>
      <c r="V184" s="38"/>
      <c r="W184" s="30"/>
      <c r="X184" s="30"/>
      <c r="Y184" s="82"/>
    </row>
    <row r="185" spans="2:25" s="119" customFormat="1" ht="28.8" x14ac:dyDescent="0.3">
      <c r="B185" s="28" t="s">
        <v>163</v>
      </c>
      <c r="C185" s="99"/>
      <c r="D185" s="54" t="s">
        <v>88</v>
      </c>
      <c r="E185" s="54" t="s">
        <v>73</v>
      </c>
      <c r="F185" s="102">
        <v>1</v>
      </c>
      <c r="G185" s="100">
        <v>1</v>
      </c>
      <c r="H185" s="100">
        <v>57071.97</v>
      </c>
      <c r="I185" s="100">
        <f>+H185/25</f>
        <v>2282.8788</v>
      </c>
      <c r="J185" s="116"/>
      <c r="K185" s="88"/>
      <c r="L185" s="36"/>
      <c r="M185" s="36"/>
      <c r="N185" s="36"/>
      <c r="O185" s="36"/>
      <c r="P185" s="36"/>
      <c r="Q185" s="36"/>
      <c r="R185" s="36"/>
      <c r="S185" s="36"/>
      <c r="T185" s="36"/>
      <c r="U185" s="20"/>
      <c r="V185" s="38"/>
      <c r="W185" s="30"/>
      <c r="X185" s="30"/>
      <c r="Y185" s="82"/>
    </row>
    <row r="186" spans="2:25" s="119" customFormat="1" ht="28.8" x14ac:dyDescent="0.3">
      <c r="B186" s="28" t="s">
        <v>159</v>
      </c>
      <c r="C186" s="99"/>
      <c r="D186" s="54" t="s">
        <v>88</v>
      </c>
      <c r="E186" s="54" t="s">
        <v>73</v>
      </c>
      <c r="F186" s="100">
        <v>20000</v>
      </c>
      <c r="G186" s="100">
        <v>868.399</v>
      </c>
      <c r="H186" s="100">
        <v>17367980</v>
      </c>
      <c r="I186" s="126">
        <v>700000</v>
      </c>
      <c r="J186" s="116">
        <v>700000</v>
      </c>
      <c r="K186" s="88"/>
      <c r="L186" s="36"/>
      <c r="M186" s="36"/>
      <c r="N186" s="36"/>
      <c r="O186" s="36"/>
      <c r="P186" s="36"/>
      <c r="Q186" s="36"/>
      <c r="R186" s="36"/>
      <c r="S186" s="36"/>
      <c r="T186" s="36"/>
      <c r="U186" s="20"/>
      <c r="V186" s="38"/>
      <c r="W186" s="30"/>
      <c r="X186" s="30"/>
      <c r="Y186" s="82"/>
    </row>
    <row r="187" spans="2:25" s="119" customFormat="1" ht="28.8" x14ac:dyDescent="0.3">
      <c r="B187" s="28" t="s">
        <v>176</v>
      </c>
      <c r="C187" s="54" t="s">
        <v>88</v>
      </c>
      <c r="D187" s="54" t="s">
        <v>88</v>
      </c>
      <c r="E187" s="54" t="s">
        <v>73</v>
      </c>
      <c r="F187" s="100">
        <v>20000</v>
      </c>
      <c r="G187" s="100">
        <v>868.399</v>
      </c>
      <c r="H187" s="100">
        <v>-17367980</v>
      </c>
      <c r="I187" s="126">
        <v>-700000</v>
      </c>
      <c r="J187" s="116"/>
      <c r="K187" s="88"/>
      <c r="L187" s="36"/>
      <c r="M187" s="36"/>
      <c r="N187" s="36"/>
      <c r="O187" s="36"/>
      <c r="P187" s="36"/>
      <c r="Q187" s="36"/>
      <c r="R187" s="36"/>
      <c r="S187" s="36"/>
      <c r="T187" s="36"/>
      <c r="U187" s="20"/>
      <c r="V187" s="38"/>
      <c r="W187" s="30"/>
      <c r="X187" s="30"/>
      <c r="Y187" s="82"/>
    </row>
    <row r="188" spans="2:25" s="119" customFormat="1" ht="28.8" x14ac:dyDescent="0.3">
      <c r="B188" s="145" t="s">
        <v>195</v>
      </c>
      <c r="C188" s="54"/>
      <c r="D188" s="128" t="s">
        <v>175</v>
      </c>
      <c r="E188" s="54" t="s">
        <v>127</v>
      </c>
      <c r="F188" s="100">
        <v>63</v>
      </c>
      <c r="G188" s="100">
        <v>52500</v>
      </c>
      <c r="H188" s="100">
        <v>3803625</v>
      </c>
      <c r="I188" s="126">
        <v>153155.21177688029</v>
      </c>
      <c r="J188" s="116"/>
      <c r="K188" s="88"/>
      <c r="L188" s="36"/>
      <c r="M188" s="36"/>
      <c r="N188" s="36"/>
      <c r="O188" s="36"/>
      <c r="P188" s="36"/>
      <c r="Q188" s="36"/>
      <c r="R188" s="36"/>
      <c r="S188" s="36"/>
      <c r="T188" s="36"/>
      <c r="U188" s="20"/>
      <c r="V188" s="38"/>
      <c r="W188" s="30"/>
      <c r="X188" s="30"/>
      <c r="Y188" s="82"/>
    </row>
    <row r="189" spans="2:25" s="119" customFormat="1" ht="57.6" x14ac:dyDescent="0.3">
      <c r="B189" s="145" t="s">
        <v>213</v>
      </c>
      <c r="C189" s="54"/>
      <c r="D189" s="128" t="s">
        <v>175</v>
      </c>
      <c r="E189" s="54" t="s">
        <v>127</v>
      </c>
      <c r="F189" s="100">
        <v>1</v>
      </c>
      <c r="G189" s="100">
        <v>1328972.43</v>
      </c>
      <c r="H189" s="100">
        <v>1328972.43</v>
      </c>
      <c r="I189" s="126">
        <v>53511.861438045344</v>
      </c>
      <c r="J189" s="116"/>
      <c r="K189" s="88"/>
      <c r="L189" s="36"/>
      <c r="M189" s="36"/>
      <c r="N189" s="36"/>
      <c r="O189" s="36"/>
      <c r="P189" s="36"/>
      <c r="Q189" s="36"/>
      <c r="R189" s="36"/>
      <c r="S189" s="36"/>
      <c r="T189" s="36"/>
      <c r="U189" s="20"/>
      <c r="V189" s="38"/>
      <c r="W189" s="30"/>
      <c r="X189" s="30"/>
      <c r="Y189" s="82"/>
    </row>
    <row r="190" spans="2:25" s="119" customFormat="1" ht="28.8" x14ac:dyDescent="0.3">
      <c r="B190" s="145" t="s">
        <v>196</v>
      </c>
      <c r="C190" s="54"/>
      <c r="D190" s="128" t="s">
        <v>175</v>
      </c>
      <c r="E190" s="54" t="s">
        <v>127</v>
      </c>
      <c r="F190" s="100">
        <v>30</v>
      </c>
      <c r="G190" s="100">
        <v>19000</v>
      </c>
      <c r="H190" s="100">
        <v>655500</v>
      </c>
      <c r="I190" s="126">
        <v>26394.095453612023</v>
      </c>
      <c r="J190" s="116"/>
      <c r="K190" s="88"/>
      <c r="L190" s="36"/>
      <c r="M190" s="36"/>
      <c r="N190" s="36"/>
      <c r="O190" s="36"/>
      <c r="P190" s="36"/>
      <c r="Q190" s="36"/>
      <c r="R190" s="36"/>
      <c r="S190" s="36"/>
      <c r="T190" s="36"/>
      <c r="U190" s="20"/>
      <c r="V190" s="38"/>
      <c r="W190" s="30"/>
      <c r="X190" s="30"/>
      <c r="Y190" s="82"/>
    </row>
    <row r="191" spans="2:25" s="119" customFormat="1" ht="388.8" x14ac:dyDescent="0.3">
      <c r="B191" s="182" t="s">
        <v>227</v>
      </c>
      <c r="C191" s="54"/>
      <c r="D191" s="128" t="s">
        <v>175</v>
      </c>
      <c r="E191" s="54" t="s">
        <v>127</v>
      </c>
      <c r="F191" s="100">
        <v>1</v>
      </c>
      <c r="G191" s="100">
        <v>6216901.4800000004</v>
      </c>
      <c r="H191" s="100">
        <v>6216901.4800000004</v>
      </c>
      <c r="I191" s="126">
        <v>250327.21752680701</v>
      </c>
      <c r="J191" s="116"/>
      <c r="K191" s="88"/>
      <c r="L191" s="36"/>
      <c r="M191" s="36"/>
      <c r="N191" s="36"/>
      <c r="O191" s="36"/>
      <c r="P191" s="36"/>
      <c r="Q191" s="36"/>
      <c r="R191" s="36"/>
      <c r="S191" s="36"/>
      <c r="T191" s="36"/>
      <c r="U191" s="20"/>
      <c r="V191" s="38"/>
      <c r="W191" s="30"/>
      <c r="X191" s="30"/>
      <c r="Y191" s="82"/>
    </row>
    <row r="192" spans="2:25" s="119" customFormat="1" ht="57.6" x14ac:dyDescent="0.3">
      <c r="B192" s="182" t="s">
        <v>228</v>
      </c>
      <c r="C192" s="54"/>
      <c r="D192" s="128" t="s">
        <v>175</v>
      </c>
      <c r="E192" s="54" t="s">
        <v>127</v>
      </c>
      <c r="F192" s="100">
        <v>4500</v>
      </c>
      <c r="G192" s="100">
        <v>99.75</v>
      </c>
      <c r="H192" s="100">
        <v>448875</v>
      </c>
      <c r="I192" s="126">
        <v>18074.2175388865</v>
      </c>
      <c r="J192" s="116"/>
      <c r="K192" s="88"/>
      <c r="L192" s="36"/>
      <c r="M192" s="36"/>
      <c r="N192" s="36"/>
      <c r="O192" s="36"/>
      <c r="P192" s="36"/>
      <c r="Q192" s="36"/>
      <c r="R192" s="36"/>
      <c r="S192" s="36"/>
      <c r="T192" s="36"/>
      <c r="U192" s="20"/>
      <c r="V192" s="38"/>
      <c r="W192" s="30"/>
      <c r="X192" s="30"/>
      <c r="Y192" s="82"/>
    </row>
    <row r="193" spans="2:25" s="119" customFormat="1" ht="57.6" x14ac:dyDescent="0.3">
      <c r="B193" s="182" t="s">
        <v>229</v>
      </c>
      <c r="C193" s="54"/>
      <c r="D193" s="128" t="s">
        <v>175</v>
      </c>
      <c r="E193" s="54" t="s">
        <v>127</v>
      </c>
      <c r="F193" s="100">
        <v>2119</v>
      </c>
      <c r="G193" s="100">
        <v>127.4</v>
      </c>
      <c r="H193" s="100">
        <v>269960.59999999998</v>
      </c>
      <c r="I193" s="126">
        <v>10870.1233335078</v>
      </c>
      <c r="J193" s="116"/>
      <c r="K193" s="88"/>
      <c r="L193" s="36"/>
      <c r="M193" s="36"/>
      <c r="N193" s="36"/>
      <c r="O193" s="36"/>
      <c r="P193" s="36"/>
      <c r="Q193" s="36"/>
      <c r="R193" s="36"/>
      <c r="S193" s="36"/>
      <c r="T193" s="36"/>
      <c r="U193" s="20"/>
      <c r="V193" s="38"/>
      <c r="W193" s="30"/>
      <c r="X193" s="30"/>
      <c r="Y193" s="82"/>
    </row>
    <row r="194" spans="2:25" s="119" customFormat="1" ht="86.4" x14ac:dyDescent="0.3">
      <c r="B194" s="182" t="s">
        <v>230</v>
      </c>
      <c r="C194" s="54"/>
      <c r="D194" s="128" t="s">
        <v>175</v>
      </c>
      <c r="E194" s="54" t="s">
        <v>127</v>
      </c>
      <c r="F194" s="100">
        <v>1</v>
      </c>
      <c r="G194" s="100">
        <v>798700</v>
      </c>
      <c r="H194" s="100">
        <v>798700</v>
      </c>
      <c r="I194" s="126">
        <v>32160.1282056444</v>
      </c>
      <c r="J194" s="116"/>
      <c r="K194" s="88"/>
      <c r="L194" s="36"/>
      <c r="M194" s="36"/>
      <c r="N194" s="36"/>
      <c r="O194" s="36"/>
      <c r="P194" s="36"/>
      <c r="Q194" s="36"/>
      <c r="R194" s="36"/>
      <c r="S194" s="36"/>
      <c r="T194" s="36"/>
      <c r="U194" s="20"/>
      <c r="V194" s="38"/>
      <c r="W194" s="30"/>
      <c r="X194" s="30"/>
      <c r="Y194" s="82"/>
    </row>
    <row r="195" spans="2:25" s="119" customFormat="1" ht="86.4" x14ac:dyDescent="0.3">
      <c r="B195" s="182" t="s">
        <v>231</v>
      </c>
      <c r="C195" s="54"/>
      <c r="D195" s="128" t="s">
        <v>175</v>
      </c>
      <c r="E195" s="54" t="s">
        <v>127</v>
      </c>
      <c r="F195" s="100">
        <v>1</v>
      </c>
      <c r="G195" s="100">
        <v>1128380</v>
      </c>
      <c r="H195" s="100">
        <v>1128380</v>
      </c>
      <c r="I195" s="126">
        <v>45434.888524709</v>
      </c>
      <c r="J195" s="116"/>
      <c r="K195" s="88"/>
      <c r="L195" s="36"/>
      <c r="M195" s="36"/>
      <c r="N195" s="36"/>
      <c r="O195" s="36"/>
      <c r="P195" s="36"/>
      <c r="Q195" s="36"/>
      <c r="R195" s="36"/>
      <c r="S195" s="36"/>
      <c r="T195" s="36"/>
      <c r="U195" s="20"/>
      <c r="V195" s="38"/>
      <c r="W195" s="30"/>
      <c r="X195" s="30"/>
      <c r="Y195" s="82"/>
    </row>
    <row r="196" spans="2:25" s="119" customFormat="1" ht="86.4" x14ac:dyDescent="0.3">
      <c r="B196" s="182" t="s">
        <v>232</v>
      </c>
      <c r="C196" s="54"/>
      <c r="D196" s="128" t="s">
        <v>175</v>
      </c>
      <c r="E196" s="54" t="s">
        <v>127</v>
      </c>
      <c r="F196" s="100">
        <v>1</v>
      </c>
      <c r="G196" s="100">
        <v>1458430</v>
      </c>
      <c r="H196" s="100">
        <v>1458430</v>
      </c>
      <c r="I196" s="126">
        <v>58724.547112755703</v>
      </c>
      <c r="J196" s="116"/>
      <c r="K196" s="88"/>
      <c r="L196" s="36"/>
      <c r="M196" s="36"/>
      <c r="N196" s="36"/>
      <c r="O196" s="36"/>
      <c r="P196" s="36"/>
      <c r="Q196" s="36"/>
      <c r="R196" s="36"/>
      <c r="S196" s="36"/>
      <c r="T196" s="36"/>
      <c r="U196" s="20"/>
      <c r="V196" s="38"/>
      <c r="W196" s="30"/>
      <c r="X196" s="30"/>
      <c r="Y196" s="82"/>
    </row>
    <row r="197" spans="2:25" s="119" customFormat="1" ht="129.6" x14ac:dyDescent="0.3">
      <c r="B197" s="182" t="s">
        <v>226</v>
      </c>
      <c r="C197" s="54"/>
      <c r="D197" s="128" t="s">
        <v>175</v>
      </c>
      <c r="E197" s="54" t="s">
        <v>127</v>
      </c>
      <c r="F197" s="100">
        <v>1</v>
      </c>
      <c r="G197" s="100">
        <v>5294991</v>
      </c>
      <c r="H197" s="100">
        <v>5294991</v>
      </c>
      <c r="I197" s="126">
        <v>213205.94642260348</v>
      </c>
      <c r="J197" s="116"/>
      <c r="K197" s="88"/>
      <c r="L197" s="36"/>
      <c r="M197" s="36"/>
      <c r="N197" s="36"/>
      <c r="O197" s="36"/>
      <c r="P197" s="36"/>
      <c r="Q197" s="36"/>
      <c r="R197" s="36"/>
      <c r="S197" s="36"/>
      <c r="T197" s="36"/>
      <c r="U197" s="20"/>
      <c r="V197" s="38"/>
      <c r="W197" s="30"/>
      <c r="X197" s="30"/>
      <c r="Y197" s="82"/>
    </row>
    <row r="198" spans="2:25" s="119" customFormat="1" ht="43.2" x14ac:dyDescent="0.3">
      <c r="B198" s="28" t="s">
        <v>149</v>
      </c>
      <c r="C198" s="99"/>
      <c r="D198" s="54" t="s">
        <v>88</v>
      </c>
      <c r="E198" s="54" t="s">
        <v>73</v>
      </c>
      <c r="F198" s="102">
        <v>1</v>
      </c>
      <c r="G198" s="100">
        <v>1</v>
      </c>
      <c r="H198" s="100">
        <v>2761245</v>
      </c>
      <c r="I198" s="126">
        <v>110449.8</v>
      </c>
      <c r="J198" s="116"/>
      <c r="K198" s="88"/>
      <c r="L198" s="36"/>
      <c r="M198" s="36"/>
      <c r="N198" s="36"/>
      <c r="O198" s="36"/>
      <c r="P198" s="36"/>
      <c r="Q198" s="36"/>
      <c r="R198" s="36"/>
      <c r="S198" s="36"/>
      <c r="T198" s="36"/>
      <c r="U198" s="20"/>
      <c r="V198" s="38"/>
      <c r="W198" s="30"/>
      <c r="X198" s="30"/>
      <c r="Y198" s="82"/>
    </row>
    <row r="199" spans="2:25" s="1" customFormat="1" x14ac:dyDescent="0.3">
      <c r="B199" s="74" t="s">
        <v>89</v>
      </c>
      <c r="C199" s="89"/>
      <c r="D199" s="90"/>
      <c r="E199" s="91"/>
      <c r="F199" s="91"/>
      <c r="G199" s="91"/>
      <c r="H199" s="91"/>
      <c r="I199" s="92"/>
      <c r="J199" s="93"/>
      <c r="K199" s="94"/>
      <c r="L199" s="95"/>
      <c r="M199" s="95"/>
      <c r="N199" s="95"/>
      <c r="O199" s="95"/>
      <c r="P199" s="95"/>
      <c r="Q199" s="95"/>
      <c r="R199" s="95"/>
      <c r="S199" s="95"/>
      <c r="T199" s="95"/>
      <c r="U199" s="96"/>
      <c r="V199" s="97"/>
      <c r="W199" s="98"/>
      <c r="X199" s="54"/>
      <c r="Y199" s="82"/>
    </row>
    <row r="200" spans="2:25" s="1" customFormat="1" ht="28.8" x14ac:dyDescent="0.3">
      <c r="B200" s="28" t="s">
        <v>90</v>
      </c>
      <c r="C200" s="99"/>
      <c r="D200" s="54" t="s">
        <v>42</v>
      </c>
      <c r="E200" s="54" t="s">
        <v>73</v>
      </c>
      <c r="F200" s="54">
        <f>12</f>
        <v>12</v>
      </c>
      <c r="G200" s="100">
        <v>34000</v>
      </c>
      <c r="H200" s="100">
        <f>F200*G200</f>
        <v>408000</v>
      </c>
      <c r="I200" s="101">
        <f>H200/25</f>
        <v>16320</v>
      </c>
      <c r="J200" s="93"/>
      <c r="K200" s="94"/>
      <c r="L200" s="95"/>
      <c r="M200" s="95"/>
      <c r="N200" s="95"/>
      <c r="O200" s="95"/>
      <c r="P200" s="95"/>
      <c r="Q200" s="95"/>
      <c r="R200" s="95"/>
      <c r="S200" s="95"/>
      <c r="T200" s="95"/>
      <c r="U200" s="96"/>
      <c r="V200" s="97"/>
      <c r="W200" s="54" t="s">
        <v>91</v>
      </c>
      <c r="X200" s="54" t="s">
        <v>92</v>
      </c>
      <c r="Y200" s="82"/>
    </row>
    <row r="201" spans="2:25" s="1" customFormat="1" ht="28.8" x14ac:dyDescent="0.3">
      <c r="B201" s="28" t="s">
        <v>93</v>
      </c>
      <c r="C201" s="99"/>
      <c r="D201" s="54" t="s">
        <v>42</v>
      </c>
      <c r="E201" s="54" t="s">
        <v>73</v>
      </c>
      <c r="F201" s="54">
        <f>12</f>
        <v>12</v>
      </c>
      <c r="G201" s="100">
        <v>6500</v>
      </c>
      <c r="H201" s="100">
        <f>F201*G201</f>
        <v>78000</v>
      </c>
      <c r="I201" s="101">
        <f>H201/25</f>
        <v>3120</v>
      </c>
      <c r="J201" s="93"/>
      <c r="K201" s="94"/>
      <c r="L201" s="95"/>
      <c r="M201" s="95"/>
      <c r="N201" s="95"/>
      <c r="O201" s="95"/>
      <c r="P201" s="95"/>
      <c r="Q201" s="95"/>
      <c r="R201" s="95"/>
      <c r="S201" s="95"/>
      <c r="T201" s="95"/>
      <c r="U201" s="96"/>
      <c r="V201" s="97"/>
      <c r="W201" s="54" t="s">
        <v>91</v>
      </c>
      <c r="X201" s="54" t="s">
        <v>92</v>
      </c>
    </row>
    <row r="202" spans="2:25" s="1" customFormat="1" ht="28.8" x14ac:dyDescent="0.3">
      <c r="B202" s="28" t="s">
        <v>94</v>
      </c>
      <c r="C202" s="99"/>
      <c r="D202" s="54" t="s">
        <v>42</v>
      </c>
      <c r="E202" s="54" t="s">
        <v>73</v>
      </c>
      <c r="F202" s="102">
        <v>200</v>
      </c>
      <c r="G202" s="100">
        <v>3000</v>
      </c>
      <c r="H202" s="100">
        <f>F202*G202</f>
        <v>600000</v>
      </c>
      <c r="I202" s="101">
        <f>H202/25</f>
        <v>24000</v>
      </c>
      <c r="J202" s="93"/>
      <c r="K202" s="94"/>
      <c r="L202" s="95"/>
      <c r="M202" s="95"/>
      <c r="N202" s="95"/>
      <c r="O202" s="95"/>
      <c r="P202" s="95"/>
      <c r="Q202" s="95"/>
      <c r="R202" s="95"/>
      <c r="S202" s="95"/>
      <c r="T202" s="95"/>
      <c r="U202" s="96"/>
      <c r="V202" s="97"/>
      <c r="W202" s="54" t="s">
        <v>91</v>
      </c>
      <c r="X202" s="54" t="s">
        <v>92</v>
      </c>
    </row>
    <row r="203" spans="2:25" s="1" customFormat="1" ht="28.8" x14ac:dyDescent="0.3">
      <c r="B203" s="28" t="s">
        <v>95</v>
      </c>
      <c r="C203" s="99"/>
      <c r="D203" s="54" t="s">
        <v>42</v>
      </c>
      <c r="E203" s="54" t="s">
        <v>73</v>
      </c>
      <c r="F203" s="102">
        <v>300</v>
      </c>
      <c r="G203" s="100">
        <v>300</v>
      </c>
      <c r="H203" s="100">
        <f t="shared" ref="H203:H221" si="47">F203*G203</f>
        <v>90000</v>
      </c>
      <c r="I203" s="101">
        <f t="shared" ref="I203:I221" si="48">H203/25</f>
        <v>3600</v>
      </c>
      <c r="J203" s="93"/>
      <c r="K203" s="94"/>
      <c r="L203" s="95"/>
      <c r="M203" s="95"/>
      <c r="N203" s="95"/>
      <c r="O203" s="95"/>
      <c r="P203" s="95"/>
      <c r="Q203" s="95"/>
      <c r="R203" s="95"/>
      <c r="S203" s="95"/>
      <c r="T203" s="95"/>
      <c r="U203" s="96"/>
      <c r="V203" s="97"/>
      <c r="W203" s="54" t="s">
        <v>91</v>
      </c>
      <c r="X203" s="54" t="s">
        <v>92</v>
      </c>
    </row>
    <row r="204" spans="2:25" s="1" customFormat="1" ht="28.8" x14ac:dyDescent="0.3">
      <c r="B204" s="28" t="s">
        <v>96</v>
      </c>
      <c r="C204" s="99"/>
      <c r="D204" s="54" t="s">
        <v>42</v>
      </c>
      <c r="E204" s="54" t="s">
        <v>73</v>
      </c>
      <c r="F204" s="102">
        <v>1000</v>
      </c>
      <c r="G204" s="100">
        <v>520</v>
      </c>
      <c r="H204" s="100">
        <f t="shared" si="47"/>
        <v>520000</v>
      </c>
      <c r="I204" s="101">
        <f t="shared" si="48"/>
        <v>20800</v>
      </c>
      <c r="J204" s="93"/>
      <c r="K204" s="94"/>
      <c r="L204" s="95"/>
      <c r="M204" s="95"/>
      <c r="N204" s="95"/>
      <c r="O204" s="95"/>
      <c r="P204" s="95"/>
      <c r="Q204" s="95"/>
      <c r="R204" s="95"/>
      <c r="S204" s="95"/>
      <c r="T204" s="95"/>
      <c r="U204" s="96"/>
      <c r="V204" s="97"/>
      <c r="W204" s="54" t="s">
        <v>91</v>
      </c>
      <c r="X204" s="54" t="s">
        <v>92</v>
      </c>
    </row>
    <row r="205" spans="2:25" s="1" customFormat="1" ht="28.8" x14ac:dyDescent="0.3">
      <c r="B205" s="28" t="s">
        <v>97</v>
      </c>
      <c r="C205" s="99"/>
      <c r="D205" s="54" t="s">
        <v>42</v>
      </c>
      <c r="E205" s="54" t="s">
        <v>73</v>
      </c>
      <c r="F205" s="102">
        <v>1000</v>
      </c>
      <c r="G205" s="100">
        <v>250</v>
      </c>
      <c r="H205" s="100">
        <f t="shared" si="47"/>
        <v>250000</v>
      </c>
      <c r="I205" s="101">
        <f t="shared" si="48"/>
        <v>10000</v>
      </c>
      <c r="J205" s="93"/>
      <c r="K205" s="94"/>
      <c r="L205" s="95"/>
      <c r="M205" s="95"/>
      <c r="N205" s="95"/>
      <c r="O205" s="95"/>
      <c r="P205" s="95"/>
      <c r="Q205" s="95"/>
      <c r="R205" s="95"/>
      <c r="S205" s="95"/>
      <c r="T205" s="95"/>
      <c r="U205" s="96"/>
      <c r="V205" s="97"/>
      <c r="W205" s="54" t="s">
        <v>91</v>
      </c>
      <c r="X205" s="54" t="s">
        <v>92</v>
      </c>
    </row>
    <row r="206" spans="2:25" s="1" customFormat="1" ht="28.8" x14ac:dyDescent="0.3">
      <c r="B206" s="28" t="s">
        <v>98</v>
      </c>
      <c r="C206" s="99"/>
      <c r="D206" s="54" t="s">
        <v>42</v>
      </c>
      <c r="E206" s="54" t="s">
        <v>73</v>
      </c>
      <c r="F206" s="102">
        <f>68</f>
        <v>68</v>
      </c>
      <c r="G206" s="100">
        <v>3500</v>
      </c>
      <c r="H206" s="100">
        <f t="shared" si="47"/>
        <v>238000</v>
      </c>
      <c r="I206" s="101">
        <f t="shared" si="48"/>
        <v>9520</v>
      </c>
      <c r="J206" s="93"/>
      <c r="K206" s="94"/>
      <c r="L206" s="95"/>
      <c r="M206" s="95"/>
      <c r="N206" s="95"/>
      <c r="O206" s="95"/>
      <c r="P206" s="95"/>
      <c r="Q206" s="95"/>
      <c r="R206" s="95"/>
      <c r="S206" s="95"/>
      <c r="T206" s="95"/>
      <c r="U206" s="96"/>
      <c r="V206" s="97"/>
      <c r="W206" s="54" t="s">
        <v>91</v>
      </c>
      <c r="X206" s="54" t="s">
        <v>92</v>
      </c>
    </row>
    <row r="207" spans="2:25" s="1" customFormat="1" ht="28.8" x14ac:dyDescent="0.3">
      <c r="B207" s="28" t="s">
        <v>99</v>
      </c>
      <c r="C207" s="99"/>
      <c r="D207" s="54" t="s">
        <v>42</v>
      </c>
      <c r="E207" s="54" t="s">
        <v>73</v>
      </c>
      <c r="F207" s="102">
        <f>550</f>
        <v>550</v>
      </c>
      <c r="G207" s="100">
        <v>300</v>
      </c>
      <c r="H207" s="100">
        <f t="shared" si="47"/>
        <v>165000</v>
      </c>
      <c r="I207" s="101">
        <f t="shared" si="48"/>
        <v>6600</v>
      </c>
      <c r="J207" s="93"/>
      <c r="K207" s="94"/>
      <c r="L207" s="95"/>
      <c r="M207" s="95"/>
      <c r="N207" s="95"/>
      <c r="O207" s="95"/>
      <c r="P207" s="95"/>
      <c r="Q207" s="95"/>
      <c r="R207" s="95"/>
      <c r="S207" s="95"/>
      <c r="T207" s="95"/>
      <c r="U207" s="96"/>
      <c r="V207" s="97"/>
      <c r="W207" s="54" t="s">
        <v>91</v>
      </c>
      <c r="X207" s="54" t="s">
        <v>92</v>
      </c>
    </row>
    <row r="208" spans="2:25" s="1" customFormat="1" ht="28.8" x14ac:dyDescent="0.3">
      <c r="B208" s="28" t="s">
        <v>100</v>
      </c>
      <c r="C208" s="99"/>
      <c r="D208" s="54" t="s">
        <v>42</v>
      </c>
      <c r="E208" s="54" t="s">
        <v>73</v>
      </c>
      <c r="F208" s="194" t="s">
        <v>128</v>
      </c>
      <c r="G208" s="195"/>
      <c r="H208" s="100">
        <f>115125+123958.5</f>
        <v>239083.5</v>
      </c>
      <c r="I208" s="101">
        <f t="shared" si="48"/>
        <v>9563.34</v>
      </c>
      <c r="J208" s="93"/>
      <c r="K208" s="94"/>
      <c r="L208" s="95"/>
      <c r="M208" s="95"/>
      <c r="N208" s="95"/>
      <c r="O208" s="95"/>
      <c r="P208" s="95"/>
      <c r="Q208" s="95"/>
      <c r="R208" s="95"/>
      <c r="S208" s="95"/>
      <c r="T208" s="95"/>
      <c r="U208" s="96"/>
      <c r="V208" s="97"/>
      <c r="W208" s="54" t="s">
        <v>91</v>
      </c>
      <c r="X208" s="54" t="s">
        <v>92</v>
      </c>
    </row>
    <row r="209" spans="2:27" s="1" customFormat="1" ht="28.8" x14ac:dyDescent="0.3">
      <c r="B209" s="28" t="s">
        <v>101</v>
      </c>
      <c r="C209" s="99"/>
      <c r="D209" s="54" t="s">
        <v>42</v>
      </c>
      <c r="E209" s="54" t="s">
        <v>73</v>
      </c>
      <c r="F209" s="102">
        <v>9</v>
      </c>
      <c r="G209" s="100">
        <v>9816.52</v>
      </c>
      <c r="H209" s="100">
        <f t="shared" si="47"/>
        <v>88348.680000000008</v>
      </c>
      <c r="I209" s="101">
        <f t="shared" si="48"/>
        <v>3533.9472000000005</v>
      </c>
      <c r="J209" s="93"/>
      <c r="K209" s="94"/>
      <c r="L209" s="95"/>
      <c r="M209" s="95"/>
      <c r="N209" s="95"/>
      <c r="O209" s="95"/>
      <c r="P209" s="95"/>
      <c r="Q209" s="95"/>
      <c r="R209" s="95"/>
      <c r="S209" s="95"/>
      <c r="T209" s="95"/>
      <c r="U209" s="96"/>
      <c r="V209" s="97"/>
      <c r="W209" s="54" t="s">
        <v>91</v>
      </c>
      <c r="X209" s="54" t="s">
        <v>92</v>
      </c>
    </row>
    <row r="210" spans="2:27" s="1" customFormat="1" ht="28.8" x14ac:dyDescent="0.3">
      <c r="B210" s="28" t="s">
        <v>102</v>
      </c>
      <c r="C210" s="99"/>
      <c r="D210" s="54" t="s">
        <v>42</v>
      </c>
      <c r="E210" s="54" t="s">
        <v>73</v>
      </c>
      <c r="F210" s="102">
        <v>9</v>
      </c>
      <c r="G210" s="100">
        <v>12248.7</v>
      </c>
      <c r="H210" s="100">
        <f t="shared" si="47"/>
        <v>110238.3</v>
      </c>
      <c r="I210" s="101">
        <f t="shared" si="48"/>
        <v>4409.5320000000002</v>
      </c>
      <c r="J210" s="93"/>
      <c r="K210" s="94"/>
      <c r="L210" s="95"/>
      <c r="M210" s="95"/>
      <c r="N210" s="95"/>
      <c r="O210" s="95"/>
      <c r="P210" s="95"/>
      <c r="Q210" s="95"/>
      <c r="R210" s="95"/>
      <c r="S210" s="95"/>
      <c r="T210" s="95"/>
      <c r="U210" s="96"/>
      <c r="V210" s="97"/>
      <c r="W210" s="54" t="s">
        <v>91</v>
      </c>
      <c r="X210" s="54" t="s">
        <v>92</v>
      </c>
    </row>
    <row r="211" spans="2:27" s="1" customFormat="1" ht="28.8" x14ac:dyDescent="0.3">
      <c r="B211" s="28" t="s">
        <v>103</v>
      </c>
      <c r="C211" s="99"/>
      <c r="D211" s="54" t="s">
        <v>42</v>
      </c>
      <c r="E211" s="54" t="s">
        <v>73</v>
      </c>
      <c r="F211" s="102">
        <v>16</v>
      </c>
      <c r="G211" s="100">
        <v>8517</v>
      </c>
      <c r="H211" s="100">
        <f t="shared" si="47"/>
        <v>136272</v>
      </c>
      <c r="I211" s="101">
        <f t="shared" si="48"/>
        <v>5450.88</v>
      </c>
      <c r="J211" s="93"/>
      <c r="K211" s="94"/>
      <c r="L211" s="95"/>
      <c r="M211" s="95"/>
      <c r="N211" s="95"/>
      <c r="O211" s="95"/>
      <c r="P211" s="95"/>
      <c r="Q211" s="95"/>
      <c r="R211" s="95"/>
      <c r="S211" s="95"/>
      <c r="T211" s="95"/>
      <c r="U211" s="96"/>
      <c r="V211" s="97"/>
      <c r="W211" s="54" t="s">
        <v>91</v>
      </c>
      <c r="X211" s="54" t="s">
        <v>92</v>
      </c>
    </row>
    <row r="212" spans="2:27" s="1" customFormat="1" ht="28.8" x14ac:dyDescent="0.3">
      <c r="B212" s="28" t="s">
        <v>104</v>
      </c>
      <c r="C212" s="99"/>
      <c r="D212" s="54" t="s">
        <v>42</v>
      </c>
      <c r="E212" s="54" t="s">
        <v>73</v>
      </c>
      <c r="F212" s="102">
        <v>17</v>
      </c>
      <c r="G212" s="100">
        <v>10231.299999999999</v>
      </c>
      <c r="H212" s="100">
        <f t="shared" si="47"/>
        <v>173932.09999999998</v>
      </c>
      <c r="I212" s="101">
        <f t="shared" si="48"/>
        <v>6957.2839999999987</v>
      </c>
      <c r="J212" s="93"/>
      <c r="K212" s="94"/>
      <c r="L212" s="95"/>
      <c r="M212" s="95"/>
      <c r="N212" s="95"/>
      <c r="O212" s="95"/>
      <c r="P212" s="95"/>
      <c r="Q212" s="95"/>
      <c r="R212" s="95"/>
      <c r="S212" s="95"/>
      <c r="T212" s="95"/>
      <c r="U212" s="96"/>
      <c r="V212" s="97"/>
      <c r="W212" s="54" t="s">
        <v>91</v>
      </c>
      <c r="X212" s="54" t="s">
        <v>92</v>
      </c>
    </row>
    <row r="213" spans="2:27" s="1" customFormat="1" ht="28.8" x14ac:dyDescent="0.3">
      <c r="B213" s="28" t="s">
        <v>105</v>
      </c>
      <c r="C213" s="99"/>
      <c r="D213" s="54" t="s">
        <v>42</v>
      </c>
      <c r="E213" s="54" t="s">
        <v>73</v>
      </c>
      <c r="F213" s="102">
        <v>12</v>
      </c>
      <c r="G213" s="100">
        <v>5000</v>
      </c>
      <c r="H213" s="100">
        <f t="shared" si="47"/>
        <v>60000</v>
      </c>
      <c r="I213" s="101">
        <f t="shared" si="48"/>
        <v>2400</v>
      </c>
      <c r="J213" s="93"/>
      <c r="K213" s="94"/>
      <c r="L213" s="95"/>
      <c r="M213" s="95"/>
      <c r="N213" s="95"/>
      <c r="O213" s="95"/>
      <c r="P213" s="95"/>
      <c r="Q213" s="95"/>
      <c r="R213" s="95"/>
      <c r="S213" s="95"/>
      <c r="T213" s="95"/>
      <c r="U213" s="96"/>
      <c r="V213" s="97"/>
      <c r="W213" s="54" t="s">
        <v>91</v>
      </c>
      <c r="X213" s="54" t="s">
        <v>92</v>
      </c>
    </row>
    <row r="214" spans="2:27" s="1" customFormat="1" ht="28.8" x14ac:dyDescent="0.3">
      <c r="B214" s="28" t="s">
        <v>106</v>
      </c>
      <c r="C214" s="99"/>
      <c r="D214" s="54" t="s">
        <v>42</v>
      </c>
      <c r="E214" s="54" t="s">
        <v>73</v>
      </c>
      <c r="F214" s="102">
        <f>10</f>
        <v>10</v>
      </c>
      <c r="G214" s="100">
        <v>7000</v>
      </c>
      <c r="H214" s="100">
        <f t="shared" si="47"/>
        <v>70000</v>
      </c>
      <c r="I214" s="101">
        <f t="shared" si="48"/>
        <v>2800</v>
      </c>
      <c r="J214" s="93"/>
      <c r="K214" s="94"/>
      <c r="L214" s="95"/>
      <c r="M214" s="95"/>
      <c r="N214" s="95"/>
      <c r="O214" s="95"/>
      <c r="P214" s="95"/>
      <c r="Q214" s="95"/>
      <c r="R214" s="95"/>
      <c r="S214" s="95"/>
      <c r="T214" s="95"/>
      <c r="U214" s="96"/>
      <c r="V214" s="97"/>
      <c r="W214" s="54" t="s">
        <v>91</v>
      </c>
      <c r="X214" s="54" t="s">
        <v>92</v>
      </c>
    </row>
    <row r="215" spans="2:27" s="1" customFormat="1" ht="28.8" x14ac:dyDescent="0.3">
      <c r="B215" s="28" t="s">
        <v>107</v>
      </c>
      <c r="C215" s="99"/>
      <c r="D215" s="54" t="s">
        <v>42</v>
      </c>
      <c r="E215" s="54" t="s">
        <v>73</v>
      </c>
      <c r="F215" s="102">
        <v>10</v>
      </c>
      <c r="G215" s="100">
        <v>4000</v>
      </c>
      <c r="H215" s="100">
        <f t="shared" si="47"/>
        <v>40000</v>
      </c>
      <c r="I215" s="101">
        <f t="shared" si="48"/>
        <v>1600</v>
      </c>
      <c r="J215" s="93"/>
      <c r="K215" s="94"/>
      <c r="L215" s="95"/>
      <c r="M215" s="95"/>
      <c r="N215" s="95"/>
      <c r="O215" s="95"/>
      <c r="P215" s="95"/>
      <c r="Q215" s="95"/>
      <c r="R215" s="95"/>
      <c r="S215" s="95"/>
      <c r="T215" s="95"/>
      <c r="U215" s="96"/>
      <c r="V215" s="97"/>
      <c r="W215" s="54" t="s">
        <v>91</v>
      </c>
      <c r="X215" s="54" t="s">
        <v>92</v>
      </c>
    </row>
    <row r="216" spans="2:27" s="1" customFormat="1" ht="28.8" x14ac:dyDescent="0.3">
      <c r="B216" s="28" t="s">
        <v>108</v>
      </c>
      <c r="C216" s="99"/>
      <c r="D216" s="54" t="s">
        <v>42</v>
      </c>
      <c r="E216" s="54" t="s">
        <v>73</v>
      </c>
      <c r="F216" s="102">
        <v>2</v>
      </c>
      <c r="G216" s="100">
        <v>10000</v>
      </c>
      <c r="H216" s="100">
        <f t="shared" si="47"/>
        <v>20000</v>
      </c>
      <c r="I216" s="101">
        <f t="shared" si="48"/>
        <v>800</v>
      </c>
      <c r="J216" s="93"/>
      <c r="K216" s="94"/>
      <c r="L216" s="95"/>
      <c r="M216" s="95"/>
      <c r="N216" s="95"/>
      <c r="O216" s="95"/>
      <c r="P216" s="95"/>
      <c r="Q216" s="95"/>
      <c r="R216" s="95"/>
      <c r="S216" s="95"/>
      <c r="T216" s="95"/>
      <c r="U216" s="96"/>
      <c r="V216" s="97"/>
      <c r="W216" s="54" t="s">
        <v>91</v>
      </c>
      <c r="X216" s="54" t="s">
        <v>92</v>
      </c>
    </row>
    <row r="217" spans="2:27" s="1" customFormat="1" ht="28.8" x14ac:dyDescent="0.3">
      <c r="B217" s="28" t="s">
        <v>99</v>
      </c>
      <c r="C217" s="99"/>
      <c r="D217" s="54" t="s">
        <v>42</v>
      </c>
      <c r="E217" s="54" t="s">
        <v>73</v>
      </c>
      <c r="F217" s="102">
        <v>50</v>
      </c>
      <c r="G217" s="100">
        <v>400</v>
      </c>
      <c r="H217" s="100">
        <f t="shared" si="47"/>
        <v>20000</v>
      </c>
      <c r="I217" s="101">
        <f t="shared" si="48"/>
        <v>800</v>
      </c>
      <c r="J217" s="93"/>
      <c r="K217" s="94"/>
      <c r="L217" s="95"/>
      <c r="M217" s="95"/>
      <c r="N217" s="95"/>
      <c r="O217" s="95"/>
      <c r="P217" s="95"/>
      <c r="Q217" s="95"/>
      <c r="R217" s="95"/>
      <c r="S217" s="95"/>
      <c r="T217" s="95"/>
      <c r="U217" s="96"/>
      <c r="V217" s="97"/>
      <c r="W217" s="54" t="s">
        <v>91</v>
      </c>
      <c r="X217" s="54" t="s">
        <v>92</v>
      </c>
    </row>
    <row r="218" spans="2:27" s="1" customFormat="1" ht="28.8" x14ac:dyDescent="0.3">
      <c r="B218" s="28" t="s">
        <v>109</v>
      </c>
      <c r="C218" s="99"/>
      <c r="D218" s="54" t="s">
        <v>42</v>
      </c>
      <c r="E218" s="54" t="s">
        <v>73</v>
      </c>
      <c r="F218" s="102">
        <v>6</v>
      </c>
      <c r="G218" s="100">
        <v>6920.87</v>
      </c>
      <c r="H218" s="100">
        <f t="shared" si="47"/>
        <v>41525.22</v>
      </c>
      <c r="I218" s="101">
        <f t="shared" si="48"/>
        <v>1661.0088000000001</v>
      </c>
      <c r="J218" s="93"/>
      <c r="K218" s="94"/>
      <c r="L218" s="95"/>
      <c r="M218" s="95"/>
      <c r="N218" s="95"/>
      <c r="O218" s="95"/>
      <c r="P218" s="95"/>
      <c r="Q218" s="95"/>
      <c r="R218" s="95"/>
      <c r="S218" s="95"/>
      <c r="T218" s="95"/>
      <c r="U218" s="96"/>
      <c r="V218" s="97"/>
      <c r="W218" s="54" t="s">
        <v>91</v>
      </c>
      <c r="X218" s="54" t="s">
        <v>92</v>
      </c>
    </row>
    <row r="219" spans="2:27" s="1" customFormat="1" ht="28.8" x14ac:dyDescent="0.3">
      <c r="B219" s="28" t="s">
        <v>110</v>
      </c>
      <c r="C219" s="99"/>
      <c r="D219" s="54" t="s">
        <v>42</v>
      </c>
      <c r="E219" s="54" t="s">
        <v>73</v>
      </c>
      <c r="F219" s="102">
        <v>2</v>
      </c>
      <c r="G219" s="100">
        <v>5260.87</v>
      </c>
      <c r="H219" s="100">
        <f t="shared" si="47"/>
        <v>10521.74</v>
      </c>
      <c r="I219" s="101">
        <f t="shared" si="48"/>
        <v>420.86959999999999</v>
      </c>
      <c r="J219" s="93"/>
      <c r="K219" s="94"/>
      <c r="L219" s="95"/>
      <c r="M219" s="95"/>
      <c r="N219" s="95"/>
      <c r="O219" s="95"/>
      <c r="P219" s="95"/>
      <c r="Q219" s="95"/>
      <c r="R219" s="95"/>
      <c r="S219" s="95"/>
      <c r="T219" s="95"/>
      <c r="U219" s="96"/>
      <c r="V219" s="97"/>
      <c r="W219" s="54" t="s">
        <v>91</v>
      </c>
      <c r="X219" s="54" t="s">
        <v>92</v>
      </c>
    </row>
    <row r="220" spans="2:27" s="1" customFormat="1" ht="28.8" x14ac:dyDescent="0.3">
      <c r="B220" s="28" t="s">
        <v>111</v>
      </c>
      <c r="C220" s="99"/>
      <c r="D220" s="54" t="s">
        <v>42</v>
      </c>
      <c r="E220" s="54" t="s">
        <v>73</v>
      </c>
      <c r="F220" s="102">
        <v>37</v>
      </c>
      <c r="G220" s="100">
        <v>3200</v>
      </c>
      <c r="H220" s="100">
        <f t="shared" si="47"/>
        <v>118400</v>
      </c>
      <c r="I220" s="101">
        <f t="shared" si="48"/>
        <v>4736</v>
      </c>
      <c r="J220" s="93"/>
      <c r="K220" s="94"/>
      <c r="L220" s="95"/>
      <c r="M220" s="95"/>
      <c r="N220" s="95"/>
      <c r="O220" s="95"/>
      <c r="P220" s="95"/>
      <c r="Q220" s="95"/>
      <c r="R220" s="95"/>
      <c r="S220" s="95"/>
      <c r="T220" s="95"/>
      <c r="U220" s="96"/>
      <c r="V220" s="97"/>
      <c r="W220" s="54" t="s">
        <v>91</v>
      </c>
      <c r="X220" s="54" t="s">
        <v>92</v>
      </c>
    </row>
    <row r="221" spans="2:27" s="1" customFormat="1" ht="28.8" x14ac:dyDescent="0.3">
      <c r="B221" s="28" t="s">
        <v>112</v>
      </c>
      <c r="C221" s="99"/>
      <c r="D221" s="54" t="s">
        <v>42</v>
      </c>
      <c r="E221" s="54" t="s">
        <v>73</v>
      </c>
      <c r="F221" s="102">
        <v>3</v>
      </c>
      <c r="G221" s="100">
        <v>1500</v>
      </c>
      <c r="H221" s="100">
        <f t="shared" si="47"/>
        <v>4500</v>
      </c>
      <c r="I221" s="101">
        <f t="shared" si="48"/>
        <v>180</v>
      </c>
      <c r="J221" s="93"/>
      <c r="K221" s="94"/>
      <c r="L221" s="95"/>
      <c r="M221" s="95"/>
      <c r="N221" s="95"/>
      <c r="O221" s="95"/>
      <c r="P221" s="95"/>
      <c r="Q221" s="95"/>
      <c r="R221" s="95"/>
      <c r="S221" s="95"/>
      <c r="T221" s="95"/>
      <c r="U221" s="96"/>
      <c r="V221" s="97"/>
      <c r="W221" s="54" t="s">
        <v>91</v>
      </c>
      <c r="X221" s="54" t="s">
        <v>92</v>
      </c>
    </row>
    <row r="222" spans="2:27" s="1" customFormat="1" x14ac:dyDescent="0.3">
      <c r="B222" s="103" t="s">
        <v>113</v>
      </c>
      <c r="C222" s="51"/>
      <c r="D222" s="41"/>
      <c r="E222" s="41"/>
      <c r="F222" s="70"/>
      <c r="G222" s="72"/>
      <c r="H222" s="72">
        <f>+SUM(H223:H229)</f>
        <v>1180141928.0699999</v>
      </c>
      <c r="I222" s="73">
        <f>+SUM(I223:I229)</f>
        <v>47687530.549631678</v>
      </c>
      <c r="J222" s="52"/>
      <c r="K222" s="46"/>
      <c r="L222" s="53">
        <f>+L223+L224+L225</f>
        <v>398370269.51999998</v>
      </c>
      <c r="M222" s="53">
        <f>+L222/$M$2</f>
        <v>15934810.7808</v>
      </c>
      <c r="N222" s="53">
        <f t="shared" ref="N222:T222" si="49">+N223+N224+N225</f>
        <v>0</v>
      </c>
      <c r="O222" s="53">
        <f t="shared" si="49"/>
        <v>15934810.7808</v>
      </c>
      <c r="P222" s="53">
        <f t="shared" si="49"/>
        <v>0</v>
      </c>
      <c r="Q222" s="53">
        <f t="shared" si="49"/>
        <v>0</v>
      </c>
      <c r="R222" s="53">
        <f t="shared" si="49"/>
        <v>0</v>
      </c>
      <c r="S222" s="53">
        <f t="shared" si="49"/>
        <v>0</v>
      </c>
      <c r="T222" s="53">
        <f t="shared" si="49"/>
        <v>0</v>
      </c>
      <c r="U222" s="20">
        <f>M222-SUM(O222:T222)</f>
        <v>0</v>
      </c>
      <c r="V222" s="51"/>
      <c r="W222" s="41"/>
      <c r="X222" s="41"/>
    </row>
    <row r="223" spans="2:27" s="1" customFormat="1" ht="28.8" x14ac:dyDescent="0.3">
      <c r="B223" s="104" t="s">
        <v>114</v>
      </c>
      <c r="C223" s="29"/>
      <c r="D223" s="30" t="s">
        <v>42</v>
      </c>
      <c r="E223" s="85" t="s">
        <v>73</v>
      </c>
      <c r="F223" s="105">
        <v>1</v>
      </c>
      <c r="G223" s="32">
        <v>4636245.5</v>
      </c>
      <c r="H223" s="32">
        <v>4636245.5</v>
      </c>
      <c r="I223" s="106">
        <f>+H223/25</f>
        <v>185449.82</v>
      </c>
      <c r="J223" s="107">
        <v>43892</v>
      </c>
      <c r="K223" s="88" t="s">
        <v>83</v>
      </c>
      <c r="L223" s="36">
        <v>4636245.5</v>
      </c>
      <c r="M223" s="36">
        <f>+L223/$M$2</f>
        <v>185449.82</v>
      </c>
      <c r="N223" s="36"/>
      <c r="O223" s="36">
        <f>+M223</f>
        <v>185449.82</v>
      </c>
      <c r="P223" s="36"/>
      <c r="Q223" s="36"/>
      <c r="R223" s="36"/>
      <c r="S223" s="36"/>
      <c r="T223" s="36"/>
      <c r="U223" s="20">
        <f>M223-SUM(O223:T223)</f>
        <v>0</v>
      </c>
      <c r="V223" s="38"/>
      <c r="W223" s="30" t="s">
        <v>115</v>
      </c>
      <c r="X223" s="30" t="s">
        <v>116</v>
      </c>
      <c r="Y223" s="82"/>
      <c r="Z223" s="82"/>
      <c r="AA223" s="82"/>
    </row>
    <row r="224" spans="2:27" s="1" customFormat="1" ht="28.8" x14ac:dyDescent="0.3">
      <c r="B224" s="104" t="s">
        <v>117</v>
      </c>
      <c r="C224" s="29"/>
      <c r="D224" s="30" t="s">
        <v>42</v>
      </c>
      <c r="E224" s="85" t="s">
        <v>73</v>
      </c>
      <c r="F224" s="105">
        <v>1</v>
      </c>
      <c r="G224" s="50">
        <v>947583.5</v>
      </c>
      <c r="H224" s="32">
        <v>947583.5</v>
      </c>
      <c r="I224" s="106">
        <f>+H224/25</f>
        <v>37903.339999999997</v>
      </c>
      <c r="J224" s="107">
        <v>43892</v>
      </c>
      <c r="K224" s="88" t="s">
        <v>83</v>
      </c>
      <c r="L224" s="36">
        <v>947583.5</v>
      </c>
      <c r="M224" s="36">
        <f>+L224/$M$2</f>
        <v>37903.339999999997</v>
      </c>
      <c r="N224" s="36"/>
      <c r="O224" s="36">
        <f>+M224</f>
        <v>37903.339999999997</v>
      </c>
      <c r="P224" s="36"/>
      <c r="Q224" s="36"/>
      <c r="R224" s="36"/>
      <c r="S224" s="36"/>
      <c r="T224" s="36"/>
      <c r="U224" s="20">
        <f>M224-SUM(O224:T224)</f>
        <v>0</v>
      </c>
      <c r="V224" s="38"/>
      <c r="W224" s="30" t="s">
        <v>91</v>
      </c>
      <c r="X224" s="30" t="s">
        <v>92</v>
      </c>
    </row>
    <row r="225" spans="2:25" s="1" customFormat="1" x14ac:dyDescent="0.3">
      <c r="B225" s="104" t="s">
        <v>118</v>
      </c>
      <c r="C225" s="84"/>
      <c r="D225" s="30" t="s">
        <v>88</v>
      </c>
      <c r="E225" s="30" t="s">
        <v>73</v>
      </c>
      <c r="F225" s="105">
        <v>2</v>
      </c>
      <c r="G225" s="108">
        <v>196393220.25999999</v>
      </c>
      <c r="H225" s="108">
        <v>392786440.51999998</v>
      </c>
      <c r="I225" s="33">
        <v>15900032.000323841</v>
      </c>
      <c r="J225" s="109">
        <v>43909</v>
      </c>
      <c r="K225" s="35"/>
      <c r="L225" s="36">
        <f>+H225</f>
        <v>392786440.51999998</v>
      </c>
      <c r="M225" s="36">
        <f>+L225/$M$2</f>
        <v>15711457.6208</v>
      </c>
      <c r="N225" s="36"/>
      <c r="O225" s="36">
        <f>+M225</f>
        <v>15711457.6208</v>
      </c>
      <c r="P225" s="36"/>
      <c r="Q225" s="36"/>
      <c r="R225" s="36"/>
      <c r="S225" s="36"/>
      <c r="T225" s="36"/>
      <c r="U225" s="20">
        <f>M225-SUM(O225:T225)</f>
        <v>0</v>
      </c>
      <c r="V225" s="38"/>
      <c r="W225" s="60"/>
      <c r="X225" s="60"/>
      <c r="Y225" s="82"/>
    </row>
    <row r="226" spans="2:25" s="1" customFormat="1" x14ac:dyDescent="0.3">
      <c r="B226" s="104" t="s">
        <v>119</v>
      </c>
      <c r="C226" s="84"/>
      <c r="D226" s="30" t="s">
        <v>88</v>
      </c>
      <c r="E226" s="30" t="s">
        <v>73</v>
      </c>
      <c r="F226" s="105">
        <v>1</v>
      </c>
      <c r="G226" s="108">
        <v>196903215</v>
      </c>
      <c r="H226" s="108">
        <v>196903215</v>
      </c>
      <c r="I226" s="33">
        <v>7950000</v>
      </c>
      <c r="J226" s="109"/>
      <c r="K226" s="35"/>
      <c r="L226" s="36"/>
      <c r="M226" s="36"/>
      <c r="N226" s="36"/>
      <c r="O226" s="36"/>
      <c r="P226" s="36"/>
      <c r="Q226" s="36"/>
      <c r="R226" s="36"/>
      <c r="S226" s="36"/>
      <c r="T226" s="36"/>
      <c r="U226" s="20"/>
      <c r="V226" s="38"/>
      <c r="W226" s="60"/>
      <c r="X226" s="60"/>
    </row>
    <row r="227" spans="2:25" s="1" customFormat="1" x14ac:dyDescent="0.3">
      <c r="B227" s="104" t="s">
        <v>120</v>
      </c>
      <c r="C227" s="84"/>
      <c r="D227" s="30" t="s">
        <v>88</v>
      </c>
      <c r="E227" s="30" t="s">
        <v>73</v>
      </c>
      <c r="F227" s="105">
        <v>4</v>
      </c>
      <c r="G227" s="108">
        <v>142414275</v>
      </c>
      <c r="H227" s="108">
        <v>569657100</v>
      </c>
      <c r="I227" s="33">
        <v>23000000</v>
      </c>
      <c r="J227" s="109"/>
      <c r="K227" s="35"/>
      <c r="L227" s="36"/>
      <c r="M227" s="36"/>
      <c r="N227" s="36"/>
      <c r="O227" s="36"/>
      <c r="P227" s="36"/>
      <c r="Q227" s="36"/>
      <c r="R227" s="36"/>
      <c r="S227" s="36"/>
      <c r="T227" s="36"/>
      <c r="U227" s="20"/>
      <c r="V227" s="38"/>
      <c r="W227" s="60"/>
      <c r="X227" s="60"/>
    </row>
    <row r="228" spans="2:25" s="1" customFormat="1" x14ac:dyDescent="0.3">
      <c r="B228" s="104" t="s">
        <v>121</v>
      </c>
      <c r="C228" s="84"/>
      <c r="D228" s="30" t="s">
        <v>88</v>
      </c>
      <c r="E228" s="30" t="s">
        <v>73</v>
      </c>
      <c r="F228" s="105">
        <v>7</v>
      </c>
      <c r="G228" s="108">
        <v>2167286.96</v>
      </c>
      <c r="H228" s="108">
        <v>15171008.719999999</v>
      </c>
      <c r="I228" s="33">
        <v>612531.99610783393</v>
      </c>
      <c r="J228" s="109"/>
      <c r="K228" s="35"/>
      <c r="L228" s="36"/>
      <c r="M228" s="36"/>
      <c r="N228" s="36"/>
      <c r="O228" s="36"/>
      <c r="P228" s="36"/>
      <c r="Q228" s="36"/>
      <c r="R228" s="36"/>
      <c r="S228" s="36"/>
      <c r="T228" s="36"/>
      <c r="U228" s="20"/>
      <c r="V228" s="38"/>
      <c r="W228" s="60"/>
      <c r="X228" s="60"/>
    </row>
    <row r="229" spans="2:25" s="119" customFormat="1" ht="57.6" x14ac:dyDescent="0.3">
      <c r="B229" s="135" t="s">
        <v>185</v>
      </c>
      <c r="C229" s="136"/>
      <c r="D229" s="30" t="s">
        <v>88</v>
      </c>
      <c r="E229" s="30" t="s">
        <v>73</v>
      </c>
      <c r="F229" s="137">
        <v>1</v>
      </c>
      <c r="G229" s="138">
        <v>40334.83</v>
      </c>
      <c r="H229" s="139">
        <v>40334.83</v>
      </c>
      <c r="I229" s="140">
        <v>1613.3932</v>
      </c>
      <c r="J229" s="141"/>
      <c r="K229" s="142"/>
      <c r="L229" s="143"/>
      <c r="M229" s="143"/>
      <c r="N229" s="143"/>
      <c r="O229" s="143"/>
      <c r="P229" s="143"/>
      <c r="Q229" s="143"/>
      <c r="R229" s="143"/>
      <c r="S229" s="143"/>
      <c r="T229" s="143"/>
      <c r="U229" s="20"/>
      <c r="V229" s="114"/>
      <c r="W229" s="144"/>
      <c r="X229" s="144"/>
    </row>
    <row r="230" spans="2:25" ht="15" thickBot="1" x14ac:dyDescent="0.35">
      <c r="B230" s="110" t="s">
        <v>122</v>
      </c>
      <c r="C230" s="111"/>
      <c r="D230" s="112"/>
      <c r="E230" s="189"/>
      <c r="F230" s="190"/>
      <c r="G230" s="191"/>
      <c r="H230" s="113">
        <f>+H222+H157+H152+H149+H68+H6</f>
        <v>2844483251.1507282</v>
      </c>
      <c r="I230" s="113">
        <f>+I222+I157+I152+I149+I68+I6</f>
        <v>114748697.49206816</v>
      </c>
    </row>
    <row r="231" spans="2:25" x14ac:dyDescent="0.3">
      <c r="H231" s="149"/>
    </row>
    <row r="232" spans="2:25" x14ac:dyDescent="0.3">
      <c r="H232" s="149"/>
    </row>
    <row r="233" spans="2:25" x14ac:dyDescent="0.3">
      <c r="H233" s="150"/>
    </row>
  </sheetData>
  <mergeCells count="23">
    <mergeCell ref="B1:X1"/>
    <mergeCell ref="B3:B4"/>
    <mergeCell ref="D3:D4"/>
    <mergeCell ref="E3:E4"/>
    <mergeCell ref="F3:F4"/>
    <mergeCell ref="G3:G4"/>
    <mergeCell ref="H3:H4"/>
    <mergeCell ref="I3:I4"/>
    <mergeCell ref="J3:J4"/>
    <mergeCell ref="K3:K4"/>
    <mergeCell ref="M3:M4"/>
    <mergeCell ref="N3:N4"/>
    <mergeCell ref="O3:T3"/>
    <mergeCell ref="V3:V4"/>
    <mergeCell ref="W3:X3"/>
    <mergeCell ref="E6:G6"/>
    <mergeCell ref="D149:G149"/>
    <mergeCell ref="D152:F152"/>
    <mergeCell ref="E230:G230"/>
    <mergeCell ref="L3:L4"/>
    <mergeCell ref="F19:G19"/>
    <mergeCell ref="F24:G24"/>
    <mergeCell ref="F208:G208"/>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8"/>
  <sheetViews>
    <sheetView workbookViewId="0">
      <selection activeCell="C17" sqref="C17"/>
    </sheetView>
  </sheetViews>
  <sheetFormatPr baseColWidth="10" defaultRowHeight="14.4" x14ac:dyDescent="0.3"/>
  <cols>
    <col min="1" max="1" width="25.33203125" bestFit="1" customWidth="1"/>
    <col min="2" max="2" width="23.77734375" bestFit="1" customWidth="1"/>
    <col min="3" max="3" width="26.88671875" bestFit="1" customWidth="1"/>
  </cols>
  <sheetData>
    <row r="3" spans="1:3" x14ac:dyDescent="0.3">
      <c r="A3" s="179" t="s">
        <v>221</v>
      </c>
      <c r="B3" t="s">
        <v>223</v>
      </c>
      <c r="C3" t="s">
        <v>224</v>
      </c>
    </row>
    <row r="4" spans="1:3" x14ac:dyDescent="0.3">
      <c r="A4" s="180" t="s">
        <v>42</v>
      </c>
      <c r="B4" s="181">
        <v>149307370.54000002</v>
      </c>
      <c r="C4" s="181">
        <v>5983862.8215999994</v>
      </c>
    </row>
    <row r="5" spans="1:3" x14ac:dyDescent="0.3">
      <c r="A5" s="180" t="s">
        <v>175</v>
      </c>
      <c r="B5" s="181">
        <v>40477528.2205</v>
      </c>
      <c r="C5" s="181">
        <v>1636668.1628840109</v>
      </c>
    </row>
    <row r="6" spans="1:3" x14ac:dyDescent="0.3">
      <c r="A6" s="180" t="s">
        <v>88</v>
      </c>
      <c r="B6" s="181">
        <v>2080225135.9980285</v>
      </c>
      <c r="C6" s="181">
        <v>83952645.137710065</v>
      </c>
    </row>
    <row r="7" spans="1:3" x14ac:dyDescent="0.3">
      <c r="A7" s="180" t="s">
        <v>28</v>
      </c>
      <c r="B7" s="181">
        <v>527526433.87220001</v>
      </c>
      <c r="C7" s="181">
        <v>21250891.135774814</v>
      </c>
    </row>
    <row r="8" spans="1:3" x14ac:dyDescent="0.3">
      <c r="A8" s="180" t="s">
        <v>222</v>
      </c>
      <c r="B8" s="181">
        <v>2797536468.6307287</v>
      </c>
      <c r="C8" s="181">
        <v>112824067.2579689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1"/>
  <sheetViews>
    <sheetView workbookViewId="0">
      <selection sqref="A1:G188"/>
    </sheetView>
  </sheetViews>
  <sheetFormatPr baseColWidth="10" defaultRowHeight="14.4" x14ac:dyDescent="0.3"/>
  <cols>
    <col min="1" max="1" width="59.6640625" bestFit="1" customWidth="1"/>
    <col min="2" max="2" width="18.44140625" customWidth="1"/>
    <col min="3" max="3" width="19.5546875" customWidth="1"/>
    <col min="5" max="5" width="17" customWidth="1"/>
    <col min="6" max="6" width="19.5546875" customWidth="1"/>
    <col min="7" max="7" width="19.5546875" bestFit="1" customWidth="1"/>
  </cols>
  <sheetData>
    <row r="1" spans="1:7" ht="14.4" customHeight="1" x14ac:dyDescent="0.3">
      <c r="A1" s="172" t="s">
        <v>1</v>
      </c>
      <c r="B1" s="8" t="s">
        <v>2</v>
      </c>
      <c r="C1" s="173" t="s">
        <v>3</v>
      </c>
      <c r="D1" s="174" t="s">
        <v>4</v>
      </c>
      <c r="E1" s="175" t="s">
        <v>5</v>
      </c>
      <c r="F1" s="175" t="s">
        <v>6</v>
      </c>
      <c r="G1" s="176" t="s">
        <v>7</v>
      </c>
    </row>
    <row r="2" spans="1:7" x14ac:dyDescent="0.3">
      <c r="A2" s="28" t="s">
        <v>27</v>
      </c>
      <c r="B2" s="30" t="s">
        <v>28</v>
      </c>
      <c r="C2" s="30" t="s">
        <v>29</v>
      </c>
      <c r="D2" s="31">
        <f>40000+90000</f>
        <v>130000</v>
      </c>
      <c r="E2" s="32">
        <v>190</v>
      </c>
      <c r="F2" s="32">
        <f t="shared" ref="F2:F13" si="0">E2*D2</f>
        <v>24700000</v>
      </c>
      <c r="G2" s="33">
        <f t="shared" ref="G2:G122" si="1">+F2/25</f>
        <v>988000</v>
      </c>
    </row>
    <row r="3" spans="1:7" x14ac:dyDescent="0.3">
      <c r="A3" s="28" t="s">
        <v>31</v>
      </c>
      <c r="B3" s="30" t="s">
        <v>28</v>
      </c>
      <c r="C3" s="30" t="s">
        <v>29</v>
      </c>
      <c r="D3" s="31">
        <f>30000+63000</f>
        <v>93000</v>
      </c>
      <c r="E3" s="32">
        <v>75</v>
      </c>
      <c r="F3" s="32">
        <f t="shared" si="0"/>
        <v>6975000</v>
      </c>
      <c r="G3" s="33">
        <f t="shared" si="1"/>
        <v>279000</v>
      </c>
    </row>
    <row r="4" spans="1:7" x14ac:dyDescent="0.3">
      <c r="A4" s="28" t="s">
        <v>32</v>
      </c>
      <c r="B4" s="30" t="s">
        <v>28</v>
      </c>
      <c r="C4" s="30" t="s">
        <v>29</v>
      </c>
      <c r="D4" s="31">
        <v>800000</v>
      </c>
      <c r="E4" s="32">
        <v>7.5</v>
      </c>
      <c r="F4" s="32">
        <f t="shared" si="0"/>
        <v>6000000</v>
      </c>
      <c r="G4" s="33">
        <f t="shared" si="1"/>
        <v>240000</v>
      </c>
    </row>
    <row r="5" spans="1:7" x14ac:dyDescent="0.3">
      <c r="A5" s="28" t="s">
        <v>33</v>
      </c>
      <c r="B5" s="30" t="s">
        <v>28</v>
      </c>
      <c r="C5" s="30" t="s">
        <v>29</v>
      </c>
      <c r="D5" s="31">
        <v>4000</v>
      </c>
      <c r="E5" s="32">
        <v>200</v>
      </c>
      <c r="F5" s="32">
        <f t="shared" si="0"/>
        <v>800000</v>
      </c>
      <c r="G5" s="33">
        <f t="shared" si="1"/>
        <v>32000</v>
      </c>
    </row>
    <row r="6" spans="1:7" x14ac:dyDescent="0.3">
      <c r="A6" s="28" t="s">
        <v>34</v>
      </c>
      <c r="B6" s="30" t="s">
        <v>28</v>
      </c>
      <c r="C6" s="30" t="s">
        <v>29</v>
      </c>
      <c r="D6" s="31">
        <f>120000+150000</f>
        <v>270000</v>
      </c>
      <c r="E6" s="32">
        <v>8.5500000000000007</v>
      </c>
      <c r="F6" s="32">
        <f t="shared" si="0"/>
        <v>2308500</v>
      </c>
      <c r="G6" s="33">
        <f t="shared" si="1"/>
        <v>92340</v>
      </c>
    </row>
    <row r="7" spans="1:7" x14ac:dyDescent="0.3">
      <c r="A7" s="28" t="s">
        <v>35</v>
      </c>
      <c r="B7" s="30" t="s">
        <v>28</v>
      </c>
      <c r="C7" s="30" t="s">
        <v>29</v>
      </c>
      <c r="D7" s="31">
        <f>150000</f>
        <v>150000</v>
      </c>
      <c r="E7" s="32">
        <v>8.5500000000000007</v>
      </c>
      <c r="F7" s="32">
        <f t="shared" si="0"/>
        <v>1282500</v>
      </c>
      <c r="G7" s="33">
        <f t="shared" si="1"/>
        <v>51300</v>
      </c>
    </row>
    <row r="8" spans="1:7" x14ac:dyDescent="0.3">
      <c r="A8" s="28" t="s">
        <v>36</v>
      </c>
      <c r="B8" s="30" t="s">
        <v>28</v>
      </c>
      <c r="C8" s="30" t="s">
        <v>29</v>
      </c>
      <c r="D8" s="31">
        <v>200000</v>
      </c>
      <c r="E8" s="32">
        <v>8.5500000000000007</v>
      </c>
      <c r="F8" s="32">
        <f t="shared" si="0"/>
        <v>1710000.0000000002</v>
      </c>
      <c r="G8" s="33">
        <f t="shared" si="1"/>
        <v>68400.000000000015</v>
      </c>
    </row>
    <row r="9" spans="1:7" x14ac:dyDescent="0.3">
      <c r="A9" s="28" t="s">
        <v>37</v>
      </c>
      <c r="B9" s="30" t="s">
        <v>28</v>
      </c>
      <c r="C9" s="30" t="s">
        <v>29</v>
      </c>
      <c r="D9" s="31">
        <v>50000</v>
      </c>
      <c r="E9" s="32">
        <v>8.5500000000000007</v>
      </c>
      <c r="F9" s="32">
        <f t="shared" si="0"/>
        <v>427500.00000000006</v>
      </c>
      <c r="G9" s="33">
        <f t="shared" si="1"/>
        <v>17100.000000000004</v>
      </c>
    </row>
    <row r="10" spans="1:7" x14ac:dyDescent="0.3">
      <c r="A10" s="28" t="s">
        <v>38</v>
      </c>
      <c r="B10" s="30" t="s">
        <v>28</v>
      </c>
      <c r="C10" s="30" t="s">
        <v>29</v>
      </c>
      <c r="D10" s="31">
        <v>120000</v>
      </c>
      <c r="E10" s="32">
        <v>2.95</v>
      </c>
      <c r="F10" s="32">
        <f t="shared" si="0"/>
        <v>354000</v>
      </c>
      <c r="G10" s="33">
        <f t="shared" si="1"/>
        <v>14160</v>
      </c>
    </row>
    <row r="11" spans="1:7" x14ac:dyDescent="0.3">
      <c r="A11" s="28" t="s">
        <v>39</v>
      </c>
      <c r="B11" s="30" t="s">
        <v>28</v>
      </c>
      <c r="C11" s="30" t="s">
        <v>29</v>
      </c>
      <c r="D11" s="31">
        <f>150000+750000</f>
        <v>900000</v>
      </c>
      <c r="E11" s="32">
        <v>2.95</v>
      </c>
      <c r="F11" s="32">
        <f t="shared" si="0"/>
        <v>2655000</v>
      </c>
      <c r="G11" s="33">
        <f t="shared" si="1"/>
        <v>106200</v>
      </c>
    </row>
    <row r="12" spans="1:7" x14ac:dyDescent="0.3">
      <c r="A12" s="28" t="s">
        <v>40</v>
      </c>
      <c r="B12" s="30" t="s">
        <v>28</v>
      </c>
      <c r="C12" s="30" t="s">
        <v>29</v>
      </c>
      <c r="D12" s="31">
        <f>150000+750000</f>
        <v>900000</v>
      </c>
      <c r="E12" s="32">
        <v>2.95</v>
      </c>
      <c r="F12" s="32">
        <f t="shared" si="0"/>
        <v>2655000</v>
      </c>
      <c r="G12" s="33">
        <f t="shared" si="1"/>
        <v>106200</v>
      </c>
    </row>
    <row r="13" spans="1:7" x14ac:dyDescent="0.3">
      <c r="A13" s="28" t="s">
        <v>41</v>
      </c>
      <c r="B13" s="30" t="s">
        <v>28</v>
      </c>
      <c r="C13" s="30" t="s">
        <v>29</v>
      </c>
      <c r="D13" s="31">
        <f>70000+104000</f>
        <v>174000</v>
      </c>
      <c r="E13" s="32">
        <v>2.95</v>
      </c>
      <c r="F13" s="32">
        <f t="shared" si="0"/>
        <v>513300.00000000006</v>
      </c>
      <c r="G13" s="33">
        <f t="shared" si="1"/>
        <v>20532.000000000004</v>
      </c>
    </row>
    <row r="14" spans="1:7" ht="14.4" customHeight="1" x14ac:dyDescent="0.3">
      <c r="A14" s="121" t="s">
        <v>126</v>
      </c>
      <c r="B14" s="30" t="s">
        <v>28</v>
      </c>
      <c r="C14" s="123" t="s">
        <v>73</v>
      </c>
      <c r="D14" s="177" t="s">
        <v>128</v>
      </c>
      <c r="E14" s="178"/>
      <c r="F14" s="32">
        <v>399379911.19999999</v>
      </c>
      <c r="G14" s="122">
        <v>16125030.228886815</v>
      </c>
    </row>
    <row r="15" spans="1:7" x14ac:dyDescent="0.3">
      <c r="A15" s="28" t="s">
        <v>33</v>
      </c>
      <c r="B15" s="30" t="s">
        <v>42</v>
      </c>
      <c r="C15" s="30" t="s">
        <v>43</v>
      </c>
      <c r="D15" s="31">
        <v>5000</v>
      </c>
      <c r="E15" s="32">
        <v>55</v>
      </c>
      <c r="F15" s="32">
        <f>E15*D15</f>
        <v>275000</v>
      </c>
      <c r="G15" s="33">
        <f t="shared" si="1"/>
        <v>11000</v>
      </c>
    </row>
    <row r="16" spans="1:7" x14ac:dyDescent="0.3">
      <c r="A16" s="28" t="s">
        <v>35</v>
      </c>
      <c r="B16" s="30" t="s">
        <v>42</v>
      </c>
      <c r="C16" s="30" t="s">
        <v>43</v>
      </c>
      <c r="D16" s="31">
        <f>35000+100</f>
        <v>35100</v>
      </c>
      <c r="E16" s="32">
        <v>7</v>
      </c>
      <c r="F16" s="32">
        <f>E16*D16</f>
        <v>245700</v>
      </c>
      <c r="G16" s="33">
        <f t="shared" si="1"/>
        <v>9828</v>
      </c>
    </row>
    <row r="17" spans="1:7" x14ac:dyDescent="0.3">
      <c r="A17" s="28" t="s">
        <v>36</v>
      </c>
      <c r="B17" s="30" t="s">
        <v>42</v>
      </c>
      <c r="C17" s="30" t="s">
        <v>43</v>
      </c>
      <c r="D17" s="31">
        <v>3000</v>
      </c>
      <c r="E17" s="32">
        <v>7</v>
      </c>
      <c r="F17" s="32">
        <f>E17*D17</f>
        <v>21000</v>
      </c>
      <c r="G17" s="33">
        <f t="shared" si="1"/>
        <v>840</v>
      </c>
    </row>
    <row r="18" spans="1:7" x14ac:dyDescent="0.3">
      <c r="A18" s="28" t="s">
        <v>37</v>
      </c>
      <c r="B18" s="30" t="s">
        <v>42</v>
      </c>
      <c r="C18" s="30" t="s">
        <v>43</v>
      </c>
      <c r="D18" s="31">
        <f>35000+100</f>
        <v>35100</v>
      </c>
      <c r="E18" s="32">
        <v>7</v>
      </c>
      <c r="F18" s="32">
        <f>E18*D18</f>
        <v>245700</v>
      </c>
      <c r="G18" s="33">
        <f t="shared" si="1"/>
        <v>9828</v>
      </c>
    </row>
    <row r="19" spans="1:7" ht="14.4" customHeight="1" x14ac:dyDescent="0.3">
      <c r="A19" s="121" t="s">
        <v>126</v>
      </c>
      <c r="B19" s="30" t="s">
        <v>42</v>
      </c>
      <c r="C19" s="123" t="s">
        <v>127</v>
      </c>
      <c r="D19" s="177" t="s">
        <v>128</v>
      </c>
      <c r="E19" s="178"/>
      <c r="F19" s="32">
        <v>24710800</v>
      </c>
      <c r="G19" s="122">
        <v>1000000</v>
      </c>
    </row>
    <row r="20" spans="1:7" x14ac:dyDescent="0.3">
      <c r="A20" s="58" t="s">
        <v>151</v>
      </c>
      <c r="B20" s="54" t="s">
        <v>88</v>
      </c>
      <c r="C20" s="54" t="s">
        <v>73</v>
      </c>
      <c r="D20" s="61">
        <v>474000</v>
      </c>
      <c r="E20" s="69">
        <v>107.25</v>
      </c>
      <c r="F20" s="32">
        <v>-50836500</v>
      </c>
      <c r="G20" s="169">
        <v>-2049296.9750000001</v>
      </c>
    </row>
    <row r="21" spans="1:7" x14ac:dyDescent="0.3">
      <c r="A21" s="121" t="s">
        <v>123</v>
      </c>
      <c r="B21" s="60" t="s">
        <v>88</v>
      </c>
      <c r="C21" s="123" t="s">
        <v>73</v>
      </c>
      <c r="D21" s="31">
        <v>474000</v>
      </c>
      <c r="E21" s="32">
        <v>107.25</v>
      </c>
      <c r="F21" s="32">
        <v>50836500</v>
      </c>
      <c r="G21" s="169">
        <v>2049296.9749999999</v>
      </c>
    </row>
    <row r="22" spans="1:7" x14ac:dyDescent="0.3">
      <c r="A22" s="58" t="s">
        <v>123</v>
      </c>
      <c r="B22" s="54" t="s">
        <v>88</v>
      </c>
      <c r="C22" s="54" t="s">
        <v>73</v>
      </c>
      <c r="D22" s="61">
        <v>1331280</v>
      </c>
      <c r="E22" s="69">
        <v>8.6902899990000009</v>
      </c>
      <c r="F22" s="32">
        <v>11569209.26986872</v>
      </c>
      <c r="G22" s="63">
        <v>465948</v>
      </c>
    </row>
    <row r="23" spans="1:7" x14ac:dyDescent="0.3">
      <c r="A23" s="58" t="s">
        <v>136</v>
      </c>
      <c r="B23" s="54" t="s">
        <v>88</v>
      </c>
      <c r="C23" s="54" t="s">
        <v>73</v>
      </c>
      <c r="D23" s="61"/>
      <c r="E23" s="69"/>
      <c r="F23" s="32">
        <v>27886487.859999999</v>
      </c>
      <c r="G23" s="63">
        <v>1115459.5144</v>
      </c>
    </row>
    <row r="24" spans="1:7" x14ac:dyDescent="0.3">
      <c r="A24" s="58" t="s">
        <v>137</v>
      </c>
      <c r="B24" s="54" t="s">
        <v>88</v>
      </c>
      <c r="C24" s="54" t="s">
        <v>73</v>
      </c>
      <c r="D24" s="61"/>
      <c r="E24" s="69"/>
      <c r="F24" s="32">
        <v>13418456.24</v>
      </c>
      <c r="G24" s="63">
        <v>536738.24959999998</v>
      </c>
    </row>
    <row r="25" spans="1:7" x14ac:dyDescent="0.3">
      <c r="A25" s="58" t="s">
        <v>157</v>
      </c>
      <c r="B25" s="54" t="s">
        <v>88</v>
      </c>
      <c r="C25" s="54" t="s">
        <v>73</v>
      </c>
      <c r="D25" s="61"/>
      <c r="E25" s="69"/>
      <c r="F25" s="32">
        <v>19229106.82</v>
      </c>
      <c r="G25" s="63">
        <v>774380.5</v>
      </c>
    </row>
    <row r="26" spans="1:7" x14ac:dyDescent="0.3">
      <c r="A26" s="58" t="s">
        <v>123</v>
      </c>
      <c r="B26" s="54" t="s">
        <v>88</v>
      </c>
      <c r="C26" s="54" t="s">
        <v>73</v>
      </c>
      <c r="D26" s="61">
        <v>5167596</v>
      </c>
      <c r="E26" s="69">
        <v>8.6910599996594193</v>
      </c>
      <c r="F26" s="32">
        <v>44911886.890000015</v>
      </c>
      <c r="G26" s="63">
        <v>1808659</v>
      </c>
    </row>
    <row r="27" spans="1:7" x14ac:dyDescent="0.3">
      <c r="A27" s="58" t="s">
        <v>123</v>
      </c>
      <c r="B27" s="54" t="s">
        <v>88</v>
      </c>
      <c r="C27" s="54" t="s">
        <v>73</v>
      </c>
      <c r="D27" s="61">
        <v>1401988</v>
      </c>
      <c r="E27" s="69">
        <v>8.6922849981597565</v>
      </c>
      <c r="F27" s="32">
        <v>12186479.26</v>
      </c>
      <c r="G27" s="63">
        <v>490695.8</v>
      </c>
    </row>
    <row r="28" spans="1:7" x14ac:dyDescent="0.3">
      <c r="A28" s="58" t="s">
        <v>152</v>
      </c>
      <c r="B28" s="54" t="s">
        <v>88</v>
      </c>
      <c r="C28" s="54" t="s">
        <v>73</v>
      </c>
      <c r="D28" s="61" t="s">
        <v>154</v>
      </c>
      <c r="E28" s="69" t="s">
        <v>154</v>
      </c>
      <c r="F28" s="32">
        <v>7659429.2199999997</v>
      </c>
      <c r="G28" s="63">
        <v>306377.16879999998</v>
      </c>
    </row>
    <row r="29" spans="1:7" x14ac:dyDescent="0.3">
      <c r="A29" s="58" t="s">
        <v>153</v>
      </c>
      <c r="B29" s="54" t="s">
        <v>88</v>
      </c>
      <c r="C29" s="54" t="s">
        <v>73</v>
      </c>
      <c r="D29" s="61">
        <v>9190</v>
      </c>
      <c r="E29" s="69">
        <v>198.82570837867246</v>
      </c>
      <c r="F29" s="32">
        <v>1827208.26</v>
      </c>
      <c r="G29" s="63">
        <v>73611.899999999994</v>
      </c>
    </row>
    <row r="30" spans="1:7" x14ac:dyDescent="0.3">
      <c r="A30" s="58" t="s">
        <v>160</v>
      </c>
      <c r="B30" s="54" t="s">
        <v>88</v>
      </c>
      <c r="C30" s="54" t="s">
        <v>73</v>
      </c>
      <c r="D30" s="61"/>
      <c r="E30" s="69"/>
      <c r="F30" s="32">
        <v>1282497.2</v>
      </c>
      <c r="G30" s="63">
        <v>51792.56</v>
      </c>
    </row>
    <row r="31" spans="1:7" x14ac:dyDescent="0.3">
      <c r="A31" s="58" t="s">
        <v>158</v>
      </c>
      <c r="B31" s="54" t="s">
        <v>88</v>
      </c>
      <c r="C31" s="54" t="s">
        <v>73</v>
      </c>
      <c r="D31" s="61">
        <v>469000</v>
      </c>
      <c r="E31" s="69">
        <v>84</v>
      </c>
      <c r="F31" s="32">
        <v>39396000</v>
      </c>
      <c r="G31" s="63">
        <v>1575840</v>
      </c>
    </row>
    <row r="32" spans="1:7" ht="57.6" x14ac:dyDescent="0.3">
      <c r="A32" s="104" t="s">
        <v>182</v>
      </c>
      <c r="B32" s="54" t="s">
        <v>88</v>
      </c>
      <c r="C32" s="54" t="s">
        <v>73</v>
      </c>
      <c r="D32" s="61">
        <v>1</v>
      </c>
      <c r="E32" s="69">
        <v>4510.79</v>
      </c>
      <c r="F32" s="134">
        <v>4510.79</v>
      </c>
      <c r="G32" s="63">
        <v>180.4316</v>
      </c>
    </row>
    <row r="33" spans="1:7" ht="57.6" x14ac:dyDescent="0.3">
      <c r="A33" s="104" t="s">
        <v>183</v>
      </c>
      <c r="B33" s="54" t="s">
        <v>88</v>
      </c>
      <c r="C33" s="54" t="s">
        <v>73</v>
      </c>
      <c r="D33" s="61">
        <v>1</v>
      </c>
      <c r="E33" s="69">
        <v>4510.79</v>
      </c>
      <c r="F33" s="134">
        <v>4510.79</v>
      </c>
      <c r="G33" s="63">
        <v>180.4316</v>
      </c>
    </row>
    <row r="34" spans="1:7" ht="86.4" x14ac:dyDescent="0.3">
      <c r="A34" s="104" t="s">
        <v>184</v>
      </c>
      <c r="B34" s="54" t="s">
        <v>88</v>
      </c>
      <c r="C34" s="54" t="s">
        <v>73</v>
      </c>
      <c r="D34" s="61">
        <v>1</v>
      </c>
      <c r="E34" s="69">
        <v>4511.7700000000004</v>
      </c>
      <c r="F34" s="134">
        <v>4511.7700000000004</v>
      </c>
      <c r="G34" s="63">
        <v>180.47080000000003</v>
      </c>
    </row>
    <row r="35" spans="1:7" ht="86.4" x14ac:dyDescent="0.3">
      <c r="A35" s="104" t="s">
        <v>184</v>
      </c>
      <c r="B35" s="54" t="s">
        <v>88</v>
      </c>
      <c r="C35" s="54" t="s">
        <v>73</v>
      </c>
      <c r="D35" s="61">
        <v>1</v>
      </c>
      <c r="E35" s="69">
        <v>4511.7700000000004</v>
      </c>
      <c r="F35" s="134">
        <v>4511.7700000000004</v>
      </c>
      <c r="G35" s="63">
        <v>180.47080000000003</v>
      </c>
    </row>
    <row r="36" spans="1:7" ht="57.6" x14ac:dyDescent="0.3">
      <c r="A36" s="104" t="s">
        <v>164</v>
      </c>
      <c r="B36" s="128" t="s">
        <v>175</v>
      </c>
      <c r="C36" s="54" t="s">
        <v>127</v>
      </c>
      <c r="D36" s="61">
        <v>323</v>
      </c>
      <c r="E36" s="69">
        <v>710</v>
      </c>
      <c r="F36" s="170">
        <v>263729.5</v>
      </c>
      <c r="G36" s="63">
        <v>10619.22</v>
      </c>
    </row>
    <row r="37" spans="1:7" ht="57.6" x14ac:dyDescent="0.3">
      <c r="A37" s="104" t="s">
        <v>165</v>
      </c>
      <c r="B37" s="128" t="s">
        <v>175</v>
      </c>
      <c r="C37" s="54" t="s">
        <v>127</v>
      </c>
      <c r="D37" s="61">
        <v>14</v>
      </c>
      <c r="E37" s="69">
        <v>2450</v>
      </c>
      <c r="F37" s="170">
        <v>39445</v>
      </c>
      <c r="G37" s="63">
        <v>1588.28</v>
      </c>
    </row>
    <row r="38" spans="1:7" ht="28.8" x14ac:dyDescent="0.3">
      <c r="A38" s="104" t="s">
        <v>166</v>
      </c>
      <c r="B38" s="128" t="s">
        <v>175</v>
      </c>
      <c r="C38" s="54" t="s">
        <v>127</v>
      </c>
      <c r="D38" s="61">
        <v>2</v>
      </c>
      <c r="E38" s="69">
        <v>4152.6099999999997</v>
      </c>
      <c r="F38" s="170">
        <v>9551</v>
      </c>
      <c r="G38" s="63">
        <v>384.58</v>
      </c>
    </row>
    <row r="39" spans="1:7" ht="57.6" x14ac:dyDescent="0.3">
      <c r="A39" s="104" t="s">
        <v>167</v>
      </c>
      <c r="B39" s="128" t="s">
        <v>175</v>
      </c>
      <c r="C39" s="54" t="s">
        <v>127</v>
      </c>
      <c r="D39" s="61">
        <v>24768</v>
      </c>
      <c r="E39" s="69">
        <v>37.51</v>
      </c>
      <c r="F39" s="170">
        <v>932155.68</v>
      </c>
      <c r="G39" s="63">
        <v>37533.800000000003</v>
      </c>
    </row>
    <row r="40" spans="1:7" ht="57.6" x14ac:dyDescent="0.3">
      <c r="A40" s="104" t="s">
        <v>168</v>
      </c>
      <c r="B40" s="128" t="s">
        <v>175</v>
      </c>
      <c r="C40" s="54" t="s">
        <v>127</v>
      </c>
      <c r="D40" s="61">
        <v>25344</v>
      </c>
      <c r="E40" s="69">
        <v>37.51</v>
      </c>
      <c r="F40" s="170">
        <v>952555.44</v>
      </c>
      <c r="G40" s="63">
        <v>38355.21</v>
      </c>
    </row>
    <row r="41" spans="1:7" ht="57.6" x14ac:dyDescent="0.3">
      <c r="A41" s="104" t="s">
        <v>169</v>
      </c>
      <c r="B41" s="128" t="s">
        <v>175</v>
      </c>
      <c r="C41" s="54" t="s">
        <v>127</v>
      </c>
      <c r="D41" s="61">
        <v>3780</v>
      </c>
      <c r="E41" s="69">
        <v>80</v>
      </c>
      <c r="F41" s="170">
        <v>302400</v>
      </c>
      <c r="G41" s="63">
        <v>12202.5</v>
      </c>
    </row>
    <row r="42" spans="1:7" ht="57.6" x14ac:dyDescent="0.3">
      <c r="A42" s="104" t="s">
        <v>169</v>
      </c>
      <c r="B42" s="128" t="s">
        <v>175</v>
      </c>
      <c r="C42" s="54" t="s">
        <v>127</v>
      </c>
      <c r="D42" s="61">
        <v>500</v>
      </c>
      <c r="E42" s="69">
        <v>80</v>
      </c>
      <c r="F42" s="170">
        <v>40000</v>
      </c>
      <c r="G42" s="63">
        <v>1614.09</v>
      </c>
    </row>
    <row r="43" spans="1:7" ht="57.6" x14ac:dyDescent="0.3">
      <c r="A43" s="104" t="s">
        <v>169</v>
      </c>
      <c r="B43" s="128" t="s">
        <v>175</v>
      </c>
      <c r="C43" s="54" t="s">
        <v>127</v>
      </c>
      <c r="D43" s="61">
        <v>3280</v>
      </c>
      <c r="E43" s="69">
        <v>80</v>
      </c>
      <c r="F43" s="170">
        <v>262400</v>
      </c>
      <c r="G43" s="63">
        <v>10588.42</v>
      </c>
    </row>
    <row r="44" spans="1:7" ht="28.8" x14ac:dyDescent="0.3">
      <c r="A44" s="104" t="s">
        <v>170</v>
      </c>
      <c r="B44" s="128" t="s">
        <v>175</v>
      </c>
      <c r="C44" s="54" t="s">
        <v>127</v>
      </c>
      <c r="D44" s="61">
        <v>117391</v>
      </c>
      <c r="E44" s="69">
        <v>2</v>
      </c>
      <c r="F44" s="170">
        <v>234782</v>
      </c>
      <c r="G44" s="63">
        <v>9473.9699999999993</v>
      </c>
    </row>
    <row r="45" spans="1:7" ht="28.8" x14ac:dyDescent="0.3">
      <c r="A45" s="104" t="s">
        <v>171</v>
      </c>
      <c r="B45" s="128" t="s">
        <v>175</v>
      </c>
      <c r="C45" s="54" t="s">
        <v>127</v>
      </c>
      <c r="D45" s="61">
        <v>1000</v>
      </c>
      <c r="E45" s="69">
        <v>90</v>
      </c>
      <c r="F45" s="170">
        <v>90000</v>
      </c>
      <c r="G45" s="63">
        <v>3631.7</v>
      </c>
    </row>
    <row r="46" spans="1:7" ht="28.8" x14ac:dyDescent="0.3">
      <c r="A46" s="104" t="s">
        <v>172</v>
      </c>
      <c r="B46" s="128" t="s">
        <v>175</v>
      </c>
      <c r="C46" s="54" t="s">
        <v>127</v>
      </c>
      <c r="D46" s="61">
        <v>8000</v>
      </c>
      <c r="E46" s="69">
        <v>85</v>
      </c>
      <c r="F46" s="170">
        <v>680000</v>
      </c>
      <c r="G46" s="63">
        <v>27439.49</v>
      </c>
    </row>
    <row r="47" spans="1:7" ht="28.8" x14ac:dyDescent="0.3">
      <c r="A47" s="104" t="s">
        <v>173</v>
      </c>
      <c r="B47" s="128" t="s">
        <v>175</v>
      </c>
      <c r="C47" s="54" t="s">
        <v>127</v>
      </c>
      <c r="D47" s="61">
        <v>2000</v>
      </c>
      <c r="E47" s="69">
        <v>100</v>
      </c>
      <c r="F47" s="170">
        <v>200000</v>
      </c>
      <c r="G47" s="63">
        <v>8070.44</v>
      </c>
    </row>
    <row r="48" spans="1:7" ht="28.8" x14ac:dyDescent="0.3">
      <c r="A48" s="104" t="s">
        <v>174</v>
      </c>
      <c r="B48" s="128" t="s">
        <v>175</v>
      </c>
      <c r="C48" s="54" t="s">
        <v>127</v>
      </c>
      <c r="D48" s="61">
        <v>3000</v>
      </c>
      <c r="E48" s="69">
        <v>250</v>
      </c>
      <c r="F48" s="170">
        <v>750000</v>
      </c>
      <c r="G48" s="63">
        <v>30264.15</v>
      </c>
    </row>
    <row r="49" spans="1:7" ht="43.2" x14ac:dyDescent="0.3">
      <c r="A49" s="104" t="s">
        <v>177</v>
      </c>
      <c r="B49" s="128" t="s">
        <v>175</v>
      </c>
      <c r="C49" s="54" t="s">
        <v>127</v>
      </c>
      <c r="D49" s="61">
        <v>22000</v>
      </c>
      <c r="E49" s="69">
        <v>4.5</v>
      </c>
      <c r="F49" s="171">
        <v>113850</v>
      </c>
      <c r="G49" s="127">
        <v>4584.237631416825</v>
      </c>
    </row>
    <row r="50" spans="1:7" ht="57.6" x14ac:dyDescent="0.3">
      <c r="A50" s="104" t="s">
        <v>179</v>
      </c>
      <c r="B50" s="128" t="s">
        <v>175</v>
      </c>
      <c r="C50" s="54" t="s">
        <v>127</v>
      </c>
      <c r="D50" s="129">
        <v>3456</v>
      </c>
      <c r="E50" s="130">
        <v>50</v>
      </c>
      <c r="F50" s="130">
        <f t="shared" ref="F50" si="2">D50*E50</f>
        <v>172800</v>
      </c>
      <c r="G50" s="131">
        <f>F50/24.8351</f>
        <v>6957.8942706089365</v>
      </c>
    </row>
    <row r="51" spans="1:7" ht="72" x14ac:dyDescent="0.3">
      <c r="A51" s="104" t="s">
        <v>180</v>
      </c>
      <c r="B51" s="128" t="s">
        <v>175</v>
      </c>
      <c r="C51" s="54" t="s">
        <v>127</v>
      </c>
      <c r="D51" s="129">
        <v>5000</v>
      </c>
      <c r="E51" s="130">
        <v>95</v>
      </c>
      <c r="F51" s="130">
        <f>D51*E51</f>
        <v>475000</v>
      </c>
      <c r="G51" s="131">
        <f>F51/24.8351</f>
        <v>19126.156125805814</v>
      </c>
    </row>
    <row r="52" spans="1:7" ht="72" x14ac:dyDescent="0.3">
      <c r="A52" s="104" t="s">
        <v>181</v>
      </c>
      <c r="B52" s="128" t="s">
        <v>175</v>
      </c>
      <c r="C52" s="54" t="s">
        <v>127</v>
      </c>
      <c r="D52" s="129">
        <v>7060</v>
      </c>
      <c r="E52" s="132">
        <v>50</v>
      </c>
      <c r="F52" s="130">
        <v>353000</v>
      </c>
      <c r="G52" s="133">
        <v>14213.753920862006</v>
      </c>
    </row>
    <row r="53" spans="1:7" ht="72" x14ac:dyDescent="0.3">
      <c r="A53" s="104" t="s">
        <v>186</v>
      </c>
      <c r="B53" s="128" t="s">
        <v>175</v>
      </c>
      <c r="C53" s="54" t="s">
        <v>127</v>
      </c>
      <c r="D53" s="129">
        <v>10368</v>
      </c>
      <c r="E53" s="132">
        <v>50</v>
      </c>
      <c r="F53" s="130">
        <v>518400</v>
      </c>
      <c r="G53" s="133">
        <v>20873.682811826809</v>
      </c>
    </row>
    <row r="54" spans="1:7" ht="72" x14ac:dyDescent="0.3">
      <c r="A54" s="104" t="s">
        <v>187</v>
      </c>
      <c r="B54" s="128" t="s">
        <v>175</v>
      </c>
      <c r="C54" s="54" t="s">
        <v>127</v>
      </c>
      <c r="D54" s="129">
        <v>3000</v>
      </c>
      <c r="E54" s="132">
        <v>87.5</v>
      </c>
      <c r="F54" s="130">
        <v>262500</v>
      </c>
      <c r="G54" s="133">
        <v>10569.71785899795</v>
      </c>
    </row>
    <row r="55" spans="1:7" ht="72" x14ac:dyDescent="0.3">
      <c r="A55" s="145" t="s">
        <v>188</v>
      </c>
      <c r="B55" s="128" t="s">
        <v>175</v>
      </c>
      <c r="C55" s="54" t="s">
        <v>127</v>
      </c>
      <c r="D55" s="146">
        <v>127216</v>
      </c>
      <c r="E55" s="147">
        <v>59</v>
      </c>
      <c r="F55" s="147">
        <f t="shared" ref="F55:F59" si="3">D55*E55</f>
        <v>7505744</v>
      </c>
      <c r="G55" s="148">
        <f>F55/24.8351</f>
        <v>302223.22438806365</v>
      </c>
    </row>
    <row r="56" spans="1:7" ht="57.6" x14ac:dyDescent="0.3">
      <c r="A56" s="145" t="s">
        <v>189</v>
      </c>
      <c r="B56" s="128" t="s">
        <v>175</v>
      </c>
      <c r="C56" s="54" t="s">
        <v>127</v>
      </c>
      <c r="D56" s="146">
        <v>2400</v>
      </c>
      <c r="E56" s="147">
        <v>175</v>
      </c>
      <c r="F56" s="147">
        <f t="shared" si="3"/>
        <v>420000</v>
      </c>
      <c r="G56" s="148">
        <f>F56/24.8351</f>
        <v>16911.548574396722</v>
      </c>
    </row>
    <row r="57" spans="1:7" ht="57.6" x14ac:dyDescent="0.3">
      <c r="A57" s="145" t="s">
        <v>190</v>
      </c>
      <c r="B57" s="128" t="s">
        <v>175</v>
      </c>
      <c r="C57" s="54" t="s">
        <v>127</v>
      </c>
      <c r="D57" s="146">
        <v>234000</v>
      </c>
      <c r="E57" s="147">
        <v>1.49</v>
      </c>
      <c r="F57" s="147">
        <f t="shared" si="3"/>
        <v>348660</v>
      </c>
      <c r="G57" s="148">
        <f t="shared" ref="G57:G59" si="4">F57/24.8351</f>
        <v>14039.001252259906</v>
      </c>
    </row>
    <row r="58" spans="1:7" ht="57.6" x14ac:dyDescent="0.3">
      <c r="A58" s="145" t="s">
        <v>191</v>
      </c>
      <c r="B58" s="128" t="s">
        <v>175</v>
      </c>
      <c r="C58" s="54" t="s">
        <v>127</v>
      </c>
      <c r="D58" s="146">
        <v>348000</v>
      </c>
      <c r="E58" s="147">
        <v>4.4400000000000004</v>
      </c>
      <c r="F58" s="147">
        <f t="shared" si="3"/>
        <v>1545120.0000000002</v>
      </c>
      <c r="G58" s="148">
        <f t="shared" si="4"/>
        <v>62215.171269694918</v>
      </c>
    </row>
    <row r="59" spans="1:7" ht="57.6" x14ac:dyDescent="0.3">
      <c r="A59" s="145" t="s">
        <v>192</v>
      </c>
      <c r="B59" s="128" t="s">
        <v>175</v>
      </c>
      <c r="C59" s="54" t="s">
        <v>127</v>
      </c>
      <c r="D59" s="146">
        <v>100</v>
      </c>
      <c r="E59" s="147">
        <v>749.44</v>
      </c>
      <c r="F59" s="147">
        <f t="shared" si="3"/>
        <v>74944</v>
      </c>
      <c r="G59" s="148">
        <f t="shared" si="4"/>
        <v>3017.6645151418757</v>
      </c>
    </row>
    <row r="60" spans="1:7" ht="72" x14ac:dyDescent="0.3">
      <c r="A60" s="145" t="s">
        <v>194</v>
      </c>
      <c r="B60" s="128" t="s">
        <v>175</v>
      </c>
      <c r="C60" s="54" t="s">
        <v>127</v>
      </c>
      <c r="D60" s="146">
        <v>3000</v>
      </c>
      <c r="E60" s="147">
        <v>87.5</v>
      </c>
      <c r="F60" s="147">
        <v>262500</v>
      </c>
      <c r="G60" s="148">
        <v>10569.71785899795</v>
      </c>
    </row>
    <row r="61" spans="1:7" ht="43.2" x14ac:dyDescent="0.3">
      <c r="A61" s="104" t="s">
        <v>178</v>
      </c>
      <c r="B61" s="128" t="s">
        <v>175</v>
      </c>
      <c r="C61" s="54" t="s">
        <v>127</v>
      </c>
      <c r="D61" s="61">
        <v>27000</v>
      </c>
      <c r="E61" s="69">
        <v>7.5</v>
      </c>
      <c r="F61" s="32">
        <v>232875</v>
      </c>
      <c r="G61" s="127">
        <v>9376.8497006253237</v>
      </c>
    </row>
    <row r="62" spans="1:7" x14ac:dyDescent="0.3">
      <c r="A62" s="48" t="s">
        <v>46</v>
      </c>
      <c r="B62" s="30" t="s">
        <v>28</v>
      </c>
      <c r="C62" s="30" t="s">
        <v>43</v>
      </c>
      <c r="D62" s="49">
        <v>4480000</v>
      </c>
      <c r="E62" s="50">
        <v>0.1283</v>
      </c>
      <c r="F62" s="32">
        <f>E62*D62</f>
        <v>574784</v>
      </c>
      <c r="G62" s="33">
        <f t="shared" si="1"/>
        <v>22991.360000000001</v>
      </c>
    </row>
    <row r="63" spans="1:7" x14ac:dyDescent="0.3">
      <c r="A63" s="48" t="s">
        <v>47</v>
      </c>
      <c r="B63" s="30" t="s">
        <v>28</v>
      </c>
      <c r="C63" s="30" t="s">
        <v>43</v>
      </c>
      <c r="D63" s="49">
        <v>1120000</v>
      </c>
      <c r="E63" s="50">
        <v>9.3800000000000008</v>
      </c>
      <c r="F63" s="32">
        <f t="shared" ref="F63:F126" si="5">E63*D63</f>
        <v>10505600</v>
      </c>
      <c r="G63" s="33">
        <f t="shared" si="1"/>
        <v>420224</v>
      </c>
    </row>
    <row r="64" spans="1:7" x14ac:dyDescent="0.3">
      <c r="A64" s="48" t="s">
        <v>48</v>
      </c>
      <c r="B64" s="30" t="s">
        <v>28</v>
      </c>
      <c r="C64" s="30" t="s">
        <v>43</v>
      </c>
      <c r="D64" s="49">
        <v>212759</v>
      </c>
      <c r="E64" s="50">
        <v>17</v>
      </c>
      <c r="F64" s="32">
        <f t="shared" si="5"/>
        <v>3616903</v>
      </c>
      <c r="G64" s="33">
        <f t="shared" si="1"/>
        <v>144676.12</v>
      </c>
    </row>
    <row r="65" spans="1:7" x14ac:dyDescent="0.3">
      <c r="A65" s="48" t="s">
        <v>49</v>
      </c>
      <c r="B65" s="30" t="s">
        <v>28</v>
      </c>
      <c r="C65" s="30" t="s">
        <v>43</v>
      </c>
      <c r="D65" s="49">
        <v>560000</v>
      </c>
      <c r="E65" s="50">
        <v>0.14000000000000001</v>
      </c>
      <c r="F65" s="32">
        <f t="shared" si="5"/>
        <v>78400.000000000015</v>
      </c>
      <c r="G65" s="33">
        <f t="shared" si="1"/>
        <v>3136.0000000000005</v>
      </c>
    </row>
    <row r="66" spans="1:7" x14ac:dyDescent="0.3">
      <c r="A66" s="48" t="s">
        <v>50</v>
      </c>
      <c r="B66" s="30" t="s">
        <v>28</v>
      </c>
      <c r="C66" s="30" t="s">
        <v>43</v>
      </c>
      <c r="D66" s="49">
        <v>398468</v>
      </c>
      <c r="E66" s="50">
        <v>9.23</v>
      </c>
      <c r="F66" s="32">
        <f t="shared" si="5"/>
        <v>3677859.64</v>
      </c>
      <c r="G66" s="33">
        <f t="shared" si="1"/>
        <v>147114.38560000001</v>
      </c>
    </row>
    <row r="67" spans="1:7" x14ac:dyDescent="0.3">
      <c r="A67" s="48" t="s">
        <v>51</v>
      </c>
      <c r="B67" s="30" t="s">
        <v>28</v>
      </c>
      <c r="C67" s="30" t="s">
        <v>43</v>
      </c>
      <c r="D67" s="49">
        <v>19890</v>
      </c>
      <c r="E67" s="50">
        <v>24.052600000000002</v>
      </c>
      <c r="F67" s="32">
        <f t="shared" si="5"/>
        <v>478406.21400000004</v>
      </c>
      <c r="G67" s="33">
        <f t="shared" si="1"/>
        <v>19136.24856</v>
      </c>
    </row>
    <row r="68" spans="1:7" x14ac:dyDescent="0.3">
      <c r="A68" s="48" t="s">
        <v>52</v>
      </c>
      <c r="B68" s="30" t="s">
        <v>28</v>
      </c>
      <c r="C68" s="30" t="s">
        <v>43</v>
      </c>
      <c r="D68" s="49">
        <v>76826</v>
      </c>
      <c r="E68" s="50">
        <v>55.870800000000003</v>
      </c>
      <c r="F68" s="32">
        <f t="shared" si="5"/>
        <v>4292330.0808000006</v>
      </c>
      <c r="G68" s="33">
        <f t="shared" si="1"/>
        <v>171693.20323200003</v>
      </c>
    </row>
    <row r="69" spans="1:7" x14ac:dyDescent="0.3">
      <c r="A69" s="48" t="s">
        <v>53</v>
      </c>
      <c r="B69" s="30" t="s">
        <v>28</v>
      </c>
      <c r="C69" s="30" t="s">
        <v>43</v>
      </c>
      <c r="D69" s="49">
        <v>1120000</v>
      </c>
      <c r="E69" s="50">
        <v>2.3109000000000002</v>
      </c>
      <c r="F69" s="32">
        <f t="shared" si="5"/>
        <v>2588208</v>
      </c>
      <c r="G69" s="33">
        <f t="shared" si="1"/>
        <v>103528.32000000001</v>
      </c>
    </row>
    <row r="70" spans="1:7" x14ac:dyDescent="0.3">
      <c r="A70" s="48" t="s">
        <v>54</v>
      </c>
      <c r="B70" s="30" t="s">
        <v>28</v>
      </c>
      <c r="C70" s="30" t="s">
        <v>43</v>
      </c>
      <c r="D70" s="49">
        <v>495856</v>
      </c>
      <c r="E70" s="50">
        <v>20.547799999999999</v>
      </c>
      <c r="F70" s="32">
        <f t="shared" si="5"/>
        <v>10188749.9168</v>
      </c>
      <c r="G70" s="33">
        <f t="shared" si="1"/>
        <v>407549.99667199998</v>
      </c>
    </row>
    <row r="71" spans="1:7" x14ac:dyDescent="0.3">
      <c r="A71" s="48" t="s">
        <v>55</v>
      </c>
      <c r="B71" s="30" t="s">
        <v>28</v>
      </c>
      <c r="C71" s="30" t="s">
        <v>43</v>
      </c>
      <c r="D71" s="49">
        <v>398291</v>
      </c>
      <c r="E71" s="50">
        <v>17.540900000000001</v>
      </c>
      <c r="F71" s="32">
        <f t="shared" si="5"/>
        <v>6986382.6019000001</v>
      </c>
      <c r="G71" s="33">
        <f t="shared" si="1"/>
        <v>279455.304076</v>
      </c>
    </row>
    <row r="72" spans="1:7" x14ac:dyDescent="0.3">
      <c r="A72" s="48" t="s">
        <v>56</v>
      </c>
      <c r="B72" s="30" t="s">
        <v>28</v>
      </c>
      <c r="C72" s="30" t="s">
        <v>43</v>
      </c>
      <c r="D72" s="49">
        <v>91000</v>
      </c>
      <c r="E72" s="50">
        <v>5.1454000000000004</v>
      </c>
      <c r="F72" s="32">
        <f t="shared" si="5"/>
        <v>468231.4</v>
      </c>
      <c r="G72" s="33">
        <f t="shared" si="1"/>
        <v>18729.256000000001</v>
      </c>
    </row>
    <row r="73" spans="1:7" x14ac:dyDescent="0.3">
      <c r="A73" s="48" t="s">
        <v>57</v>
      </c>
      <c r="B73" s="30" t="s">
        <v>28</v>
      </c>
      <c r="C73" s="30" t="s">
        <v>43</v>
      </c>
      <c r="D73" s="49">
        <v>91000</v>
      </c>
      <c r="E73" s="50">
        <v>0.98939999999999995</v>
      </c>
      <c r="F73" s="32">
        <f t="shared" si="5"/>
        <v>90035.4</v>
      </c>
      <c r="G73" s="33">
        <f t="shared" si="1"/>
        <v>3601.4159999999997</v>
      </c>
    </row>
    <row r="74" spans="1:7" x14ac:dyDescent="0.3">
      <c r="A74" s="48" t="s">
        <v>58</v>
      </c>
      <c r="B74" s="30" t="s">
        <v>28</v>
      </c>
      <c r="C74" s="30" t="s">
        <v>43</v>
      </c>
      <c r="D74" s="49">
        <v>32500</v>
      </c>
      <c r="E74" s="50">
        <v>2.7612000000000001</v>
      </c>
      <c r="F74" s="32">
        <f t="shared" si="5"/>
        <v>89739</v>
      </c>
      <c r="G74" s="33">
        <f t="shared" si="1"/>
        <v>3589.56</v>
      </c>
    </row>
    <row r="75" spans="1:7" x14ac:dyDescent="0.3">
      <c r="A75" s="48" t="s">
        <v>59</v>
      </c>
      <c r="B75" s="30" t="s">
        <v>28</v>
      </c>
      <c r="C75" s="30" t="s">
        <v>43</v>
      </c>
      <c r="D75" s="49">
        <v>6500</v>
      </c>
      <c r="E75" s="50">
        <v>23.145</v>
      </c>
      <c r="F75" s="32">
        <f t="shared" si="5"/>
        <v>150442.5</v>
      </c>
      <c r="G75" s="33">
        <f t="shared" si="1"/>
        <v>6017.7</v>
      </c>
    </row>
    <row r="76" spans="1:7" x14ac:dyDescent="0.3">
      <c r="A76" s="48" t="s">
        <v>58</v>
      </c>
      <c r="B76" s="30" t="s">
        <v>28</v>
      </c>
      <c r="C76" s="30" t="s">
        <v>43</v>
      </c>
      <c r="D76" s="49">
        <v>3768</v>
      </c>
      <c r="E76" s="50">
        <v>526.25</v>
      </c>
      <c r="F76" s="32">
        <f t="shared" si="5"/>
        <v>1982910</v>
      </c>
      <c r="G76" s="33">
        <f t="shared" si="1"/>
        <v>79316.399999999994</v>
      </c>
    </row>
    <row r="77" spans="1:7" x14ac:dyDescent="0.3">
      <c r="A77" s="48" t="s">
        <v>60</v>
      </c>
      <c r="B77" s="30" t="s">
        <v>28</v>
      </c>
      <c r="C77" s="30" t="s">
        <v>43</v>
      </c>
      <c r="D77" s="49">
        <v>130000</v>
      </c>
      <c r="E77" s="50">
        <v>6.6817000000000002</v>
      </c>
      <c r="F77" s="32">
        <f t="shared" si="5"/>
        <v>868621</v>
      </c>
      <c r="G77" s="33">
        <f t="shared" si="1"/>
        <v>34744.839999999997</v>
      </c>
    </row>
    <row r="78" spans="1:7" x14ac:dyDescent="0.3">
      <c r="A78" s="48" t="s">
        <v>61</v>
      </c>
      <c r="B78" s="30" t="s">
        <v>28</v>
      </c>
      <c r="C78" s="30" t="s">
        <v>43</v>
      </c>
      <c r="D78" s="49">
        <v>182000</v>
      </c>
      <c r="E78" s="50">
        <v>1.1829000000000001</v>
      </c>
      <c r="F78" s="32">
        <f t="shared" si="5"/>
        <v>215287.80000000002</v>
      </c>
      <c r="G78" s="33">
        <f t="shared" si="1"/>
        <v>8611.5120000000006</v>
      </c>
    </row>
    <row r="79" spans="1:7" x14ac:dyDescent="0.3">
      <c r="A79" s="48" t="s">
        <v>62</v>
      </c>
      <c r="B79" s="30" t="s">
        <v>28</v>
      </c>
      <c r="C79" s="30" t="s">
        <v>43</v>
      </c>
      <c r="D79" s="49">
        <v>13000</v>
      </c>
      <c r="E79" s="50">
        <v>26.780200000000001</v>
      </c>
      <c r="F79" s="32">
        <f t="shared" si="5"/>
        <v>348142.60000000003</v>
      </c>
      <c r="G79" s="33">
        <f t="shared" si="1"/>
        <v>13925.704000000002</v>
      </c>
    </row>
    <row r="80" spans="1:7" x14ac:dyDescent="0.3">
      <c r="A80" s="48" t="s">
        <v>63</v>
      </c>
      <c r="B80" s="30" t="s">
        <v>28</v>
      </c>
      <c r="C80" s="30" t="s">
        <v>43</v>
      </c>
      <c r="D80" s="49">
        <v>69890</v>
      </c>
      <c r="E80" s="50">
        <v>68.957899999999995</v>
      </c>
      <c r="F80" s="32">
        <f t="shared" si="5"/>
        <v>4819467.6310000001</v>
      </c>
      <c r="G80" s="33">
        <f t="shared" si="1"/>
        <v>192778.70524000001</v>
      </c>
    </row>
    <row r="81" spans="1:7" x14ac:dyDescent="0.3">
      <c r="A81" s="48" t="s">
        <v>64</v>
      </c>
      <c r="B81" s="30" t="s">
        <v>28</v>
      </c>
      <c r="C81" s="30" t="s">
        <v>43</v>
      </c>
      <c r="D81" s="49">
        <v>97555</v>
      </c>
      <c r="E81" s="50">
        <v>49.6</v>
      </c>
      <c r="F81" s="32">
        <f t="shared" si="5"/>
        <v>4838728</v>
      </c>
      <c r="G81" s="33">
        <f t="shared" si="1"/>
        <v>193549.12</v>
      </c>
    </row>
    <row r="82" spans="1:7" x14ac:dyDescent="0.3">
      <c r="A82" s="48" t="s">
        <v>65</v>
      </c>
      <c r="B82" s="30" t="s">
        <v>28</v>
      </c>
      <c r="C82" s="30" t="s">
        <v>43</v>
      </c>
      <c r="D82" s="49">
        <v>76769</v>
      </c>
      <c r="E82" s="50">
        <v>31.43</v>
      </c>
      <c r="F82" s="32">
        <f t="shared" si="5"/>
        <v>2412849.67</v>
      </c>
      <c r="G82" s="33">
        <f t="shared" si="1"/>
        <v>96513.986799999999</v>
      </c>
    </row>
    <row r="83" spans="1:7" x14ac:dyDescent="0.3">
      <c r="A83" s="48" t="s">
        <v>66</v>
      </c>
      <c r="B83" s="30" t="s">
        <v>28</v>
      </c>
      <c r="C83" s="30" t="s">
        <v>43</v>
      </c>
      <c r="D83" s="49">
        <v>34458</v>
      </c>
      <c r="E83" s="50">
        <v>15.818099999999999</v>
      </c>
      <c r="F83" s="32">
        <f t="shared" si="5"/>
        <v>545060.08979999996</v>
      </c>
      <c r="G83" s="33">
        <f t="shared" si="1"/>
        <v>21802.403591999999</v>
      </c>
    </row>
    <row r="84" spans="1:7" x14ac:dyDescent="0.3">
      <c r="A84" s="48" t="s">
        <v>67</v>
      </c>
      <c r="B84" s="30" t="s">
        <v>28</v>
      </c>
      <c r="C84" s="30" t="s">
        <v>43</v>
      </c>
      <c r="D84" s="49">
        <v>25367</v>
      </c>
      <c r="E84" s="50">
        <v>17.053899999999999</v>
      </c>
      <c r="F84" s="32">
        <f t="shared" si="5"/>
        <v>432606.28129999997</v>
      </c>
      <c r="G84" s="33">
        <f t="shared" si="1"/>
        <v>17304.251251999998</v>
      </c>
    </row>
    <row r="85" spans="1:7" x14ac:dyDescent="0.3">
      <c r="A85" s="48" t="s">
        <v>68</v>
      </c>
      <c r="B85" s="30" t="s">
        <v>28</v>
      </c>
      <c r="C85" s="30" t="s">
        <v>43</v>
      </c>
      <c r="D85" s="49">
        <v>14021</v>
      </c>
      <c r="E85" s="50">
        <v>30.815300000000001</v>
      </c>
      <c r="F85" s="32">
        <f t="shared" si="5"/>
        <v>432061.32130000001</v>
      </c>
      <c r="G85" s="33">
        <f t="shared" si="1"/>
        <v>17282.452852000002</v>
      </c>
    </row>
    <row r="86" spans="1:7" x14ac:dyDescent="0.3">
      <c r="A86" s="48" t="s">
        <v>69</v>
      </c>
      <c r="B86" s="30" t="s">
        <v>28</v>
      </c>
      <c r="C86" s="30" t="s">
        <v>43</v>
      </c>
      <c r="D86" s="49">
        <v>33467</v>
      </c>
      <c r="E86" s="50">
        <v>21.215900000000001</v>
      </c>
      <c r="F86" s="32">
        <f t="shared" si="5"/>
        <v>710032.5253000001</v>
      </c>
      <c r="G86" s="33">
        <f t="shared" si="1"/>
        <v>28401.301012000004</v>
      </c>
    </row>
    <row r="87" spans="1:7" x14ac:dyDescent="0.3">
      <c r="A87" s="48" t="s">
        <v>70</v>
      </c>
      <c r="B87" s="30" t="s">
        <v>28</v>
      </c>
      <c r="C87" s="30" t="s">
        <v>43</v>
      </c>
      <c r="D87" s="49">
        <v>11414</v>
      </c>
      <c r="E87" s="50">
        <v>41</v>
      </c>
      <c r="F87" s="32">
        <f t="shared" si="5"/>
        <v>467974</v>
      </c>
      <c r="G87" s="33">
        <f t="shared" si="1"/>
        <v>18718.96</v>
      </c>
    </row>
    <row r="88" spans="1:7" x14ac:dyDescent="0.3">
      <c r="A88" s="48" t="s">
        <v>129</v>
      </c>
      <c r="B88" s="54" t="s">
        <v>88</v>
      </c>
      <c r="C88" s="30" t="s">
        <v>43</v>
      </c>
      <c r="D88" s="124">
        <v>7000</v>
      </c>
      <c r="E88" s="125">
        <v>876.75</v>
      </c>
      <c r="F88" s="32">
        <v>6137250</v>
      </c>
      <c r="G88" s="33">
        <v>245490</v>
      </c>
    </row>
    <row r="89" spans="1:7" x14ac:dyDescent="0.3">
      <c r="A89" s="48" t="s">
        <v>130</v>
      </c>
      <c r="B89" s="54" t="s">
        <v>88</v>
      </c>
      <c r="C89" s="30" t="s">
        <v>43</v>
      </c>
      <c r="D89" s="124">
        <v>1500800</v>
      </c>
      <c r="E89" s="125">
        <v>9.1338703999999993</v>
      </c>
      <c r="F89" s="32">
        <v>13708112.696319999</v>
      </c>
      <c r="G89" s="33">
        <v>548324.50785279996</v>
      </c>
    </row>
    <row r="90" spans="1:7" x14ac:dyDescent="0.3">
      <c r="A90" s="48" t="s">
        <v>150</v>
      </c>
      <c r="B90" s="54" t="s">
        <v>88</v>
      </c>
      <c r="C90" s="30" t="s">
        <v>43</v>
      </c>
      <c r="D90" s="124">
        <v>18000</v>
      </c>
      <c r="E90" s="125">
        <v>27.1</v>
      </c>
      <c r="F90" s="32">
        <v>487800</v>
      </c>
      <c r="G90" s="33">
        <v>19512</v>
      </c>
    </row>
    <row r="91" spans="1:7" ht="43.2" x14ac:dyDescent="0.3">
      <c r="A91" s="48" t="s">
        <v>155</v>
      </c>
      <c r="B91" s="54" t="s">
        <v>88</v>
      </c>
      <c r="C91" s="30" t="s">
        <v>43</v>
      </c>
      <c r="D91" s="124">
        <v>1</v>
      </c>
      <c r="E91" s="125">
        <v>1088579.8500000001</v>
      </c>
      <c r="F91" s="32">
        <v>1088579.8500000001</v>
      </c>
      <c r="G91" s="33">
        <v>43838.49</v>
      </c>
    </row>
    <row r="92" spans="1:7" ht="28.8" x14ac:dyDescent="0.3">
      <c r="A92" s="48" t="s">
        <v>156</v>
      </c>
      <c r="B92" s="54" t="s">
        <v>88</v>
      </c>
      <c r="C92" s="30" t="s">
        <v>43</v>
      </c>
      <c r="D92" s="124">
        <v>1</v>
      </c>
      <c r="E92" s="125">
        <v>1246099.3512000002</v>
      </c>
      <c r="F92" s="32">
        <v>1246099.3512000002</v>
      </c>
      <c r="G92" s="33">
        <v>50150</v>
      </c>
    </row>
    <row r="93" spans="1:7" x14ac:dyDescent="0.3">
      <c r="A93" s="48" t="s">
        <v>150</v>
      </c>
      <c r="B93" s="54" t="s">
        <v>88</v>
      </c>
      <c r="C93" s="30" t="s">
        <v>43</v>
      </c>
      <c r="D93" s="124">
        <v>150000</v>
      </c>
      <c r="E93" s="125">
        <v>11.2</v>
      </c>
      <c r="F93" s="32">
        <v>1680000</v>
      </c>
      <c r="G93" s="33">
        <v>67200</v>
      </c>
    </row>
    <row r="94" spans="1:7" ht="28.8" x14ac:dyDescent="0.3">
      <c r="A94" s="48" t="s">
        <v>161</v>
      </c>
      <c r="B94" s="54" t="s">
        <v>88</v>
      </c>
      <c r="C94" s="30" t="s">
        <v>43</v>
      </c>
      <c r="D94" s="124"/>
      <c r="E94" s="125"/>
      <c r="F94" s="32">
        <v>380821.92</v>
      </c>
      <c r="G94" s="33">
        <v>15335</v>
      </c>
    </row>
    <row r="95" spans="1:7" x14ac:dyDescent="0.3">
      <c r="A95" s="48" t="s">
        <v>150</v>
      </c>
      <c r="B95" s="54" t="s">
        <v>88</v>
      </c>
      <c r="C95" s="30" t="s">
        <v>43</v>
      </c>
      <c r="D95" s="124">
        <v>82000</v>
      </c>
      <c r="E95" s="125">
        <v>11.2</v>
      </c>
      <c r="F95" s="32">
        <v>918400</v>
      </c>
      <c r="G95" s="33">
        <v>36736</v>
      </c>
    </row>
    <row r="96" spans="1:7" ht="43.2" x14ac:dyDescent="0.3">
      <c r="A96" s="145" t="s">
        <v>193</v>
      </c>
      <c r="B96" s="128" t="s">
        <v>175</v>
      </c>
      <c r="C96" s="54" t="s">
        <v>127</v>
      </c>
      <c r="D96" s="146">
        <v>400</v>
      </c>
      <c r="E96" s="147">
        <v>6695</v>
      </c>
      <c r="F96" s="147">
        <f t="shared" ref="F96" si="6">D96*E96</f>
        <v>2678000</v>
      </c>
      <c r="G96" s="148">
        <f t="shared" ref="G96" si="7">F96/24.8351</f>
        <v>107831.25495770099</v>
      </c>
    </row>
    <row r="97" spans="1:7" ht="28.8" x14ac:dyDescent="0.3">
      <c r="A97" s="151" t="s">
        <v>197</v>
      </c>
      <c r="B97" s="128" t="s">
        <v>175</v>
      </c>
      <c r="C97" s="54" t="s">
        <v>127</v>
      </c>
      <c r="D97" s="146">
        <v>251</v>
      </c>
      <c r="E97" s="147">
        <v>3828</v>
      </c>
      <c r="F97" s="147">
        <f>E97*D97</f>
        <v>960828</v>
      </c>
      <c r="G97" s="148">
        <f>F97/24.4288</f>
        <v>39331.77233429395</v>
      </c>
    </row>
    <row r="98" spans="1:7" ht="28.8" x14ac:dyDescent="0.3">
      <c r="A98" s="152" t="s">
        <v>198</v>
      </c>
      <c r="B98" s="128" t="s">
        <v>175</v>
      </c>
      <c r="C98" s="54" t="s">
        <v>127</v>
      </c>
      <c r="D98" s="146">
        <v>1653</v>
      </c>
      <c r="E98" s="147">
        <v>207</v>
      </c>
      <c r="F98" s="147">
        <f t="shared" ref="F98:F107" si="8">E98*D98</f>
        <v>342171</v>
      </c>
      <c r="G98" s="148">
        <f t="shared" ref="G98:G107" si="9">F98/24.4288</f>
        <v>14006.868941577155</v>
      </c>
    </row>
    <row r="99" spans="1:7" ht="43.2" x14ac:dyDescent="0.3">
      <c r="A99" s="153" t="s">
        <v>199</v>
      </c>
      <c r="B99" s="128" t="s">
        <v>175</v>
      </c>
      <c r="C99" s="54" t="s">
        <v>127</v>
      </c>
      <c r="D99" s="146">
        <v>52506</v>
      </c>
      <c r="E99" s="147">
        <v>20.51</v>
      </c>
      <c r="F99" s="147">
        <f t="shared" si="8"/>
        <v>1076898.06</v>
      </c>
      <c r="G99" s="148">
        <f t="shared" si="9"/>
        <v>44083.133842022537</v>
      </c>
    </row>
    <row r="100" spans="1:7" ht="43.2" x14ac:dyDescent="0.3">
      <c r="A100" s="154" t="s">
        <v>200</v>
      </c>
      <c r="B100" s="128" t="s">
        <v>175</v>
      </c>
      <c r="C100" s="54" t="s">
        <v>127</v>
      </c>
      <c r="D100" s="146">
        <v>2</v>
      </c>
      <c r="E100" s="147">
        <v>5750</v>
      </c>
      <c r="F100" s="147">
        <f t="shared" si="8"/>
        <v>11500</v>
      </c>
      <c r="G100" s="148">
        <f t="shared" si="9"/>
        <v>470.755829185224</v>
      </c>
    </row>
    <row r="101" spans="1:7" ht="28.8" x14ac:dyDescent="0.3">
      <c r="A101" s="155" t="s">
        <v>201</v>
      </c>
      <c r="B101" s="128" t="s">
        <v>175</v>
      </c>
      <c r="C101" s="54" t="s">
        <v>127</v>
      </c>
      <c r="D101" s="146">
        <v>229</v>
      </c>
      <c r="E101" s="147">
        <v>207</v>
      </c>
      <c r="F101" s="147">
        <f t="shared" si="8"/>
        <v>47403</v>
      </c>
      <c r="G101" s="148">
        <f t="shared" si="9"/>
        <v>1940.4555279014935</v>
      </c>
    </row>
    <row r="102" spans="1:7" ht="43.2" x14ac:dyDescent="0.3">
      <c r="A102" s="156" t="s">
        <v>202</v>
      </c>
      <c r="B102" s="128" t="s">
        <v>175</v>
      </c>
      <c r="C102" s="54" t="s">
        <v>127</v>
      </c>
      <c r="D102" s="146">
        <v>53943</v>
      </c>
      <c r="E102" s="147">
        <v>20.51</v>
      </c>
      <c r="F102" s="147">
        <f t="shared" si="8"/>
        <v>1106370.9300000002</v>
      </c>
      <c r="G102" s="148">
        <f t="shared" si="9"/>
        <v>45289.614307702395</v>
      </c>
    </row>
    <row r="103" spans="1:7" ht="28.8" x14ac:dyDescent="0.3">
      <c r="A103" s="157" t="s">
        <v>203</v>
      </c>
      <c r="B103" s="128" t="s">
        <v>175</v>
      </c>
      <c r="C103" s="54" t="s">
        <v>127</v>
      </c>
      <c r="D103" s="146">
        <v>81</v>
      </c>
      <c r="E103" s="147">
        <v>207</v>
      </c>
      <c r="F103" s="147">
        <f t="shared" si="8"/>
        <v>16767</v>
      </c>
      <c r="G103" s="148">
        <f t="shared" si="9"/>
        <v>686.36199895205664</v>
      </c>
    </row>
    <row r="104" spans="1:7" ht="43.2" x14ac:dyDescent="0.3">
      <c r="A104" s="152" t="s">
        <v>204</v>
      </c>
      <c r="B104" s="128" t="s">
        <v>175</v>
      </c>
      <c r="C104" s="54" t="s">
        <v>127</v>
      </c>
      <c r="D104" s="146">
        <v>43784</v>
      </c>
      <c r="E104" s="147">
        <v>20.51</v>
      </c>
      <c r="F104" s="147">
        <f t="shared" si="8"/>
        <v>898009.84000000008</v>
      </c>
      <c r="G104" s="148">
        <f t="shared" si="9"/>
        <v>36760.29276919047</v>
      </c>
    </row>
    <row r="105" spans="1:7" ht="28.8" x14ac:dyDescent="0.3">
      <c r="A105" s="151" t="s">
        <v>205</v>
      </c>
      <c r="B105" s="128" t="s">
        <v>175</v>
      </c>
      <c r="C105" s="54" t="s">
        <v>127</v>
      </c>
      <c r="D105" s="146">
        <v>20</v>
      </c>
      <c r="E105" s="147">
        <v>138</v>
      </c>
      <c r="F105" s="147">
        <f t="shared" si="8"/>
        <v>2760</v>
      </c>
      <c r="G105" s="148">
        <f t="shared" si="9"/>
        <v>112.98139900445376</v>
      </c>
    </row>
    <row r="106" spans="1:7" ht="28.8" x14ac:dyDescent="0.3">
      <c r="A106" s="152" t="s">
        <v>206</v>
      </c>
      <c r="B106" s="128" t="s">
        <v>175</v>
      </c>
      <c r="C106" s="54" t="s">
        <v>127</v>
      </c>
      <c r="D106" s="146">
        <v>1</v>
      </c>
      <c r="E106" s="147">
        <v>5750</v>
      </c>
      <c r="F106" s="147">
        <f t="shared" si="8"/>
        <v>5750</v>
      </c>
      <c r="G106" s="148">
        <f t="shared" si="9"/>
        <v>235.377914592612</v>
      </c>
    </row>
    <row r="107" spans="1:7" ht="43.2" x14ac:dyDescent="0.3">
      <c r="A107" s="157" t="s">
        <v>207</v>
      </c>
      <c r="B107" s="128" t="s">
        <v>175</v>
      </c>
      <c r="C107" s="54" t="s">
        <v>127</v>
      </c>
      <c r="D107" s="146">
        <v>1580</v>
      </c>
      <c r="E107" s="147">
        <v>50</v>
      </c>
      <c r="F107" s="147">
        <f t="shared" si="8"/>
        <v>79000</v>
      </c>
      <c r="G107" s="148">
        <f t="shared" si="9"/>
        <v>3233.8878700550172</v>
      </c>
    </row>
    <row r="108" spans="1:7" ht="72" x14ac:dyDescent="0.3">
      <c r="A108" s="158" t="s">
        <v>208</v>
      </c>
      <c r="B108" s="128" t="s">
        <v>175</v>
      </c>
      <c r="C108" s="54" t="s">
        <v>127</v>
      </c>
      <c r="D108" s="146">
        <v>194</v>
      </c>
      <c r="E108" s="147">
        <v>1660</v>
      </c>
      <c r="F108" s="147">
        <f>E108*D108</f>
        <v>322040</v>
      </c>
      <c r="G108" s="148">
        <f>F108/24.4288</f>
        <v>13182.800628766046</v>
      </c>
    </row>
    <row r="109" spans="1:7" ht="72" x14ac:dyDescent="0.3">
      <c r="A109" s="159" t="s">
        <v>209</v>
      </c>
      <c r="B109" s="128" t="s">
        <v>175</v>
      </c>
      <c r="C109" s="54" t="s">
        <v>127</v>
      </c>
      <c r="D109" s="146">
        <v>120</v>
      </c>
      <c r="E109" s="147">
        <v>1320</v>
      </c>
      <c r="F109" s="147">
        <f t="shared" ref="F109:F112" si="10">E109*D109</f>
        <v>158400</v>
      </c>
      <c r="G109" s="148">
        <f t="shared" ref="G109:G112" si="11">F109/24.4288</f>
        <v>6484.1498559077809</v>
      </c>
    </row>
    <row r="110" spans="1:7" ht="86.4" x14ac:dyDescent="0.3">
      <c r="A110" s="159" t="s">
        <v>210</v>
      </c>
      <c r="B110" s="128" t="s">
        <v>175</v>
      </c>
      <c r="C110" s="54" t="s">
        <v>127</v>
      </c>
      <c r="D110" s="146">
        <v>148</v>
      </c>
      <c r="E110" s="147">
        <v>1320</v>
      </c>
      <c r="F110" s="147">
        <f t="shared" si="10"/>
        <v>195360</v>
      </c>
      <c r="G110" s="148">
        <f t="shared" si="11"/>
        <v>7997.118155619597</v>
      </c>
    </row>
    <row r="111" spans="1:7" ht="86.4" x14ac:dyDescent="0.3">
      <c r="A111" s="160" t="s">
        <v>211</v>
      </c>
      <c r="B111" s="128" t="s">
        <v>175</v>
      </c>
      <c r="C111" s="54" t="s">
        <v>127</v>
      </c>
      <c r="D111" s="146">
        <v>125</v>
      </c>
      <c r="E111" s="147">
        <v>14840</v>
      </c>
      <c r="F111" s="147">
        <f t="shared" si="10"/>
        <v>1855000</v>
      </c>
      <c r="G111" s="148">
        <f t="shared" si="11"/>
        <v>75934.962012051357</v>
      </c>
    </row>
    <row r="112" spans="1:7" ht="57.6" x14ac:dyDescent="0.3">
      <c r="A112" s="160" t="s">
        <v>212</v>
      </c>
      <c r="B112" s="128" t="s">
        <v>175</v>
      </c>
      <c r="C112" s="54" t="s">
        <v>127</v>
      </c>
      <c r="D112" s="146">
        <v>50</v>
      </c>
      <c r="E112" s="147">
        <v>55385</v>
      </c>
      <c r="F112" s="147">
        <f t="shared" si="10"/>
        <v>2769250</v>
      </c>
      <c r="G112" s="148">
        <f t="shared" si="11"/>
        <v>113360.05043227666</v>
      </c>
    </row>
    <row r="113" spans="1:7" ht="57.6" x14ac:dyDescent="0.3">
      <c r="A113" s="161" t="s">
        <v>214</v>
      </c>
      <c r="B113" s="128" t="s">
        <v>175</v>
      </c>
      <c r="C113" s="54" t="s">
        <v>127</v>
      </c>
      <c r="D113" s="162">
        <v>10000</v>
      </c>
      <c r="E113" s="163">
        <v>99.5</v>
      </c>
      <c r="F113" s="147">
        <v>995000</v>
      </c>
      <c r="G113" s="164">
        <v>40064.26388458271</v>
      </c>
    </row>
    <row r="114" spans="1:7" ht="43.2" x14ac:dyDescent="0.3">
      <c r="A114" s="161" t="s">
        <v>215</v>
      </c>
      <c r="B114" s="128" t="s">
        <v>175</v>
      </c>
      <c r="C114" s="54" t="s">
        <v>127</v>
      </c>
      <c r="D114" s="162">
        <v>164</v>
      </c>
      <c r="E114" s="163">
        <v>207</v>
      </c>
      <c r="F114" s="147">
        <v>33948</v>
      </c>
      <c r="G114" s="164">
        <v>1366.9363119133807</v>
      </c>
    </row>
    <row r="115" spans="1:7" ht="43.2" x14ac:dyDescent="0.3">
      <c r="A115" s="161" t="s">
        <v>216</v>
      </c>
      <c r="B115" s="128" t="s">
        <v>175</v>
      </c>
      <c r="C115" s="54" t="s">
        <v>127</v>
      </c>
      <c r="D115" s="162">
        <v>50694</v>
      </c>
      <c r="E115" s="163">
        <v>20.51</v>
      </c>
      <c r="F115" s="147">
        <v>1039733.9400000001</v>
      </c>
      <c r="G115" s="164">
        <v>41865.502454187823</v>
      </c>
    </row>
    <row r="116" spans="1:7" ht="43.2" x14ac:dyDescent="0.3">
      <c r="A116" s="161" t="s">
        <v>217</v>
      </c>
      <c r="B116" s="128" t="s">
        <v>175</v>
      </c>
      <c r="C116" s="54" t="s">
        <v>127</v>
      </c>
      <c r="D116" s="162">
        <v>2</v>
      </c>
      <c r="E116" s="163">
        <v>632.5</v>
      </c>
      <c r="F116" s="147">
        <v>1265</v>
      </c>
      <c r="G116" s="164">
        <v>50.93597368240917</v>
      </c>
    </row>
    <row r="117" spans="1:7" ht="72" x14ac:dyDescent="0.3">
      <c r="A117" s="161" t="s">
        <v>218</v>
      </c>
      <c r="B117" s="128" t="s">
        <v>175</v>
      </c>
      <c r="C117" s="54" t="s">
        <v>127</v>
      </c>
      <c r="D117" s="162">
        <v>1</v>
      </c>
      <c r="E117" s="163">
        <v>1098701.48</v>
      </c>
      <c r="F117" s="147">
        <v>1098701.48</v>
      </c>
      <c r="G117" s="164">
        <v>44239.86535186087</v>
      </c>
    </row>
    <row r="118" spans="1:7" ht="72" x14ac:dyDescent="0.3">
      <c r="A118" s="161" t="s">
        <v>219</v>
      </c>
      <c r="B118" s="128" t="s">
        <v>175</v>
      </c>
      <c r="C118" s="54" t="s">
        <v>127</v>
      </c>
      <c r="D118" s="162">
        <v>1</v>
      </c>
      <c r="E118" s="163">
        <v>958740.05</v>
      </c>
      <c r="F118" s="147">
        <v>958740.05</v>
      </c>
      <c r="G118" s="164">
        <v>38604.235537606051</v>
      </c>
    </row>
    <row r="119" spans="1:7" ht="72" x14ac:dyDescent="0.3">
      <c r="A119" s="161" t="s">
        <v>220</v>
      </c>
      <c r="B119" s="128" t="s">
        <v>175</v>
      </c>
      <c r="C119" s="54" t="s">
        <v>127</v>
      </c>
      <c r="D119" s="162">
        <v>1</v>
      </c>
      <c r="E119" s="163">
        <v>994122.87050000008</v>
      </c>
      <c r="F119" s="147">
        <v>994122.87050000008</v>
      </c>
      <c r="G119" s="164">
        <v>40028.945746141551</v>
      </c>
    </row>
    <row r="120" spans="1:7" x14ac:dyDescent="0.3">
      <c r="A120" s="48" t="s">
        <v>131</v>
      </c>
      <c r="B120" s="54" t="s">
        <v>88</v>
      </c>
      <c r="C120" s="30" t="s">
        <v>43</v>
      </c>
      <c r="D120" s="124">
        <v>1</v>
      </c>
      <c r="E120" s="125"/>
      <c r="F120" s="32">
        <v>7525356.1100000003</v>
      </c>
      <c r="G120" s="33">
        <v>301014.24440000003</v>
      </c>
    </row>
    <row r="121" spans="1:7" x14ac:dyDescent="0.3">
      <c r="A121" s="48" t="s">
        <v>72</v>
      </c>
      <c r="B121" s="30" t="s">
        <v>42</v>
      </c>
      <c r="C121" s="54" t="s">
        <v>73</v>
      </c>
      <c r="D121" s="31">
        <v>1000000</v>
      </c>
      <c r="E121" s="32">
        <v>24</v>
      </c>
      <c r="F121" s="32">
        <f t="shared" si="5"/>
        <v>24000000</v>
      </c>
      <c r="G121" s="33">
        <f t="shared" si="1"/>
        <v>960000</v>
      </c>
    </row>
    <row r="122" spans="1:7" x14ac:dyDescent="0.3">
      <c r="A122" s="48" t="s">
        <v>74</v>
      </c>
      <c r="B122" s="30" t="s">
        <v>42</v>
      </c>
      <c r="C122" s="54" t="s">
        <v>73</v>
      </c>
      <c r="D122" s="31">
        <v>71428</v>
      </c>
      <c r="E122" s="32">
        <v>340</v>
      </c>
      <c r="F122" s="32">
        <f t="shared" si="5"/>
        <v>24285520</v>
      </c>
      <c r="G122" s="33">
        <f t="shared" si="1"/>
        <v>971420.8</v>
      </c>
    </row>
    <row r="123" spans="1:7" x14ac:dyDescent="0.3">
      <c r="A123" s="58" t="s">
        <v>76</v>
      </c>
      <c r="B123" s="60" t="s">
        <v>28</v>
      </c>
      <c r="C123" s="54" t="s">
        <v>73</v>
      </c>
      <c r="D123" s="61">
        <v>3</v>
      </c>
      <c r="E123" s="62">
        <v>3386970</v>
      </c>
      <c r="F123" s="32">
        <f t="shared" si="5"/>
        <v>10160910</v>
      </c>
      <c r="G123" s="63">
        <f>F123/25</f>
        <v>406436.4</v>
      </c>
    </row>
    <row r="124" spans="1:7" x14ac:dyDescent="0.3">
      <c r="A124" s="58" t="s">
        <v>77</v>
      </c>
      <c r="B124" s="60" t="s">
        <v>28</v>
      </c>
      <c r="C124" s="54" t="s">
        <v>73</v>
      </c>
      <c r="D124" s="61">
        <v>3</v>
      </c>
      <c r="E124" s="62">
        <v>615000</v>
      </c>
      <c r="F124" s="32">
        <f t="shared" si="5"/>
        <v>1845000</v>
      </c>
      <c r="G124" s="63">
        <f>F124/25</f>
        <v>73800</v>
      </c>
    </row>
    <row r="125" spans="1:7" x14ac:dyDescent="0.3">
      <c r="A125" s="58" t="s">
        <v>78</v>
      </c>
      <c r="B125" s="60" t="s">
        <v>28</v>
      </c>
      <c r="C125" s="54" t="s">
        <v>73</v>
      </c>
      <c r="D125" s="61">
        <v>3</v>
      </c>
      <c r="E125" s="62">
        <v>300000</v>
      </c>
      <c r="F125" s="32">
        <f t="shared" si="5"/>
        <v>900000</v>
      </c>
      <c r="G125" s="63">
        <f>F125/25</f>
        <v>36000</v>
      </c>
    </row>
    <row r="126" spans="1:7" x14ac:dyDescent="0.3">
      <c r="A126" s="58" t="s">
        <v>79</v>
      </c>
      <c r="B126" s="60" t="s">
        <v>28</v>
      </c>
      <c r="C126" s="54" t="s">
        <v>73</v>
      </c>
      <c r="D126" s="61">
        <v>3</v>
      </c>
      <c r="E126" s="69">
        <v>1000000</v>
      </c>
      <c r="F126" s="32">
        <f t="shared" si="5"/>
        <v>3000000</v>
      </c>
      <c r="G126" s="63">
        <f>F126/25</f>
        <v>120000</v>
      </c>
    </row>
    <row r="127" spans="1:7" x14ac:dyDescent="0.3">
      <c r="A127" s="83" t="s">
        <v>82</v>
      </c>
      <c r="B127" s="30" t="s">
        <v>42</v>
      </c>
      <c r="C127" s="85" t="s">
        <v>73</v>
      </c>
      <c r="D127" s="30">
        <v>180</v>
      </c>
      <c r="E127" s="32">
        <f>299*25</f>
        <v>7475</v>
      </c>
      <c r="F127" s="32">
        <f>E127*D127</f>
        <v>1345500</v>
      </c>
      <c r="G127" s="86">
        <f t="shared" ref="G127:G130" si="12">+F127/25</f>
        <v>53820</v>
      </c>
    </row>
    <row r="128" spans="1:7" x14ac:dyDescent="0.3">
      <c r="A128" s="29" t="s">
        <v>84</v>
      </c>
      <c r="B128" s="30" t="s">
        <v>42</v>
      </c>
      <c r="C128" s="85" t="s">
        <v>73</v>
      </c>
      <c r="D128" s="30">
        <v>180</v>
      </c>
      <c r="E128" s="32">
        <f>3900*25</f>
        <v>97500</v>
      </c>
      <c r="F128" s="32">
        <f>E128*D128</f>
        <v>17550000</v>
      </c>
      <c r="G128" s="86">
        <f t="shared" si="12"/>
        <v>702000</v>
      </c>
    </row>
    <row r="129" spans="1:7" x14ac:dyDescent="0.3">
      <c r="A129" s="29" t="s">
        <v>85</v>
      </c>
      <c r="B129" s="30" t="s">
        <v>42</v>
      </c>
      <c r="C129" s="85" t="s">
        <v>73</v>
      </c>
      <c r="D129" s="30">
        <v>40</v>
      </c>
      <c r="E129" s="32">
        <f>15500*25</f>
        <v>387500</v>
      </c>
      <c r="F129" s="32">
        <f>E129*D129</f>
        <v>15500000</v>
      </c>
      <c r="G129" s="86">
        <f t="shared" si="12"/>
        <v>620000</v>
      </c>
    </row>
    <row r="130" spans="1:7" x14ac:dyDescent="0.3">
      <c r="A130" s="29" t="s">
        <v>86</v>
      </c>
      <c r="B130" s="30" t="s">
        <v>42</v>
      </c>
      <c r="C130" s="85" t="s">
        <v>73</v>
      </c>
      <c r="D130" s="30">
        <v>90</v>
      </c>
      <c r="E130" s="32">
        <f>14250*25</f>
        <v>356250</v>
      </c>
      <c r="F130" s="32">
        <f>E130*D130</f>
        <v>32062500</v>
      </c>
      <c r="G130" s="86">
        <f t="shared" si="12"/>
        <v>1282500</v>
      </c>
    </row>
    <row r="131" spans="1:7" x14ac:dyDescent="0.3">
      <c r="A131" s="28" t="s">
        <v>87</v>
      </c>
      <c r="B131" s="54" t="s">
        <v>88</v>
      </c>
      <c r="C131" s="54" t="s">
        <v>73</v>
      </c>
      <c r="D131" s="102">
        <v>450</v>
      </c>
      <c r="E131" s="100">
        <v>760626.57</v>
      </c>
      <c r="F131" s="100">
        <v>342281956.5</v>
      </c>
      <c r="G131" s="101">
        <v>13834525.875</v>
      </c>
    </row>
    <row r="132" spans="1:7" x14ac:dyDescent="0.3">
      <c r="A132" s="28" t="s">
        <v>124</v>
      </c>
      <c r="B132" s="54" t="s">
        <v>88</v>
      </c>
      <c r="C132" s="54" t="s">
        <v>73</v>
      </c>
      <c r="D132" s="102">
        <v>250000</v>
      </c>
      <c r="E132" s="100">
        <v>185.975424</v>
      </c>
      <c r="F132" s="100">
        <v>46493855.979999997</v>
      </c>
      <c r="G132" s="101">
        <v>1875032</v>
      </c>
    </row>
    <row r="133" spans="1:7" x14ac:dyDescent="0.3">
      <c r="A133" s="28" t="s">
        <v>125</v>
      </c>
      <c r="B133" s="54" t="s">
        <v>88</v>
      </c>
      <c r="C133" s="54" t="s">
        <v>73</v>
      </c>
      <c r="D133" s="102">
        <v>1</v>
      </c>
      <c r="E133" s="100">
        <v>1428425.16</v>
      </c>
      <c r="F133" s="100">
        <v>1428425.16</v>
      </c>
      <c r="G133" s="101">
        <v>57582</v>
      </c>
    </row>
    <row r="134" spans="1:7" x14ac:dyDescent="0.3">
      <c r="A134" s="28" t="s">
        <v>87</v>
      </c>
      <c r="B134" s="54" t="s">
        <v>88</v>
      </c>
      <c r="C134" s="54" t="s">
        <v>73</v>
      </c>
      <c r="D134" s="102">
        <v>200</v>
      </c>
      <c r="E134" s="100">
        <v>822345.42</v>
      </c>
      <c r="F134" s="100">
        <v>164469084</v>
      </c>
      <c r="G134" s="101">
        <v>6630000</v>
      </c>
    </row>
    <row r="135" spans="1:7" x14ac:dyDescent="0.3">
      <c r="A135" s="28" t="s">
        <v>87</v>
      </c>
      <c r="B135" s="54" t="s">
        <v>88</v>
      </c>
      <c r="C135" s="54" t="s">
        <v>73</v>
      </c>
      <c r="D135" s="102">
        <v>90</v>
      </c>
      <c r="E135" s="100">
        <v>741425.64</v>
      </c>
      <c r="F135" s="100">
        <v>66728307.600000001</v>
      </c>
      <c r="G135" s="101">
        <v>2689919.9999999995</v>
      </c>
    </row>
    <row r="136" spans="1:7" x14ac:dyDescent="0.3">
      <c r="A136" s="28" t="s">
        <v>132</v>
      </c>
      <c r="B136" s="54" t="s">
        <v>88</v>
      </c>
      <c r="C136" s="54" t="s">
        <v>73</v>
      </c>
      <c r="D136" s="102">
        <v>1728</v>
      </c>
      <c r="E136" s="100">
        <v>13105.41963</v>
      </c>
      <c r="F136" s="100">
        <v>22646165.120640002</v>
      </c>
      <c r="G136" s="126">
        <v>905846.60482560005</v>
      </c>
    </row>
    <row r="137" spans="1:7" x14ac:dyDescent="0.3">
      <c r="A137" s="28" t="s">
        <v>133</v>
      </c>
      <c r="B137" s="54" t="s">
        <v>88</v>
      </c>
      <c r="C137" s="54" t="s">
        <v>73</v>
      </c>
      <c r="D137" s="102">
        <v>350</v>
      </c>
      <c r="E137" s="100">
        <v>52419.839999999997</v>
      </c>
      <c r="F137" s="100">
        <v>18346944</v>
      </c>
      <c r="G137" s="126">
        <v>733877.76000000001</v>
      </c>
    </row>
    <row r="138" spans="1:7" x14ac:dyDescent="0.3">
      <c r="A138" s="28" t="s">
        <v>134</v>
      </c>
      <c r="B138" s="54" t="s">
        <v>88</v>
      </c>
      <c r="C138" s="54" t="s">
        <v>73</v>
      </c>
      <c r="D138" s="102">
        <v>1</v>
      </c>
      <c r="E138" s="100">
        <v>1042440</v>
      </c>
      <c r="F138" s="100">
        <v>1042440</v>
      </c>
      <c r="G138" s="126">
        <v>41697.599999999999</v>
      </c>
    </row>
    <row r="139" spans="1:7" x14ac:dyDescent="0.3">
      <c r="A139" s="28" t="s">
        <v>135</v>
      </c>
      <c r="B139" s="54" t="s">
        <v>88</v>
      </c>
      <c r="C139" s="54" t="s">
        <v>73</v>
      </c>
      <c r="D139" s="102">
        <v>4</v>
      </c>
      <c r="E139" s="100">
        <v>1340280</v>
      </c>
      <c r="F139" s="100">
        <v>5361120</v>
      </c>
      <c r="G139" s="126">
        <v>214444.79999999999</v>
      </c>
    </row>
    <row r="140" spans="1:7" ht="43.2" x14ac:dyDescent="0.3">
      <c r="A140" s="28" t="s">
        <v>138</v>
      </c>
      <c r="B140" s="54" t="s">
        <v>88</v>
      </c>
      <c r="C140" s="54" t="s">
        <v>73</v>
      </c>
      <c r="D140" s="102">
        <v>1</v>
      </c>
      <c r="E140" s="100">
        <v>14568</v>
      </c>
      <c r="F140" s="100">
        <v>14568</v>
      </c>
      <c r="G140" s="126">
        <v>582.72</v>
      </c>
    </row>
    <row r="141" spans="1:7" ht="43.2" x14ac:dyDescent="0.3">
      <c r="A141" s="28" t="s">
        <v>139</v>
      </c>
      <c r="B141" s="54" t="s">
        <v>88</v>
      </c>
      <c r="C141" s="54" t="s">
        <v>73</v>
      </c>
      <c r="D141" s="102">
        <v>1</v>
      </c>
      <c r="E141" s="100">
        <v>4284</v>
      </c>
      <c r="F141" s="100">
        <v>4284</v>
      </c>
      <c r="G141" s="126">
        <v>171.36</v>
      </c>
    </row>
    <row r="142" spans="1:7" ht="43.2" x14ac:dyDescent="0.3">
      <c r="A142" s="28" t="s">
        <v>140</v>
      </c>
      <c r="B142" s="54" t="s">
        <v>88</v>
      </c>
      <c r="C142" s="54" t="s">
        <v>73</v>
      </c>
      <c r="D142" s="102">
        <v>1</v>
      </c>
      <c r="E142" s="100">
        <v>12424.06</v>
      </c>
      <c r="F142" s="100">
        <v>12424.06</v>
      </c>
      <c r="G142" s="126">
        <v>496.9624</v>
      </c>
    </row>
    <row r="143" spans="1:7" ht="43.2" x14ac:dyDescent="0.3">
      <c r="A143" s="28" t="s">
        <v>141</v>
      </c>
      <c r="B143" s="54" t="s">
        <v>88</v>
      </c>
      <c r="C143" s="54" t="s">
        <v>73</v>
      </c>
      <c r="D143" s="102">
        <v>1</v>
      </c>
      <c r="E143" s="100">
        <v>8812.0300000000007</v>
      </c>
      <c r="F143" s="100">
        <v>8812.0300000000007</v>
      </c>
      <c r="G143" s="126">
        <v>352.4812</v>
      </c>
    </row>
    <row r="144" spans="1:7" ht="28.8" x14ac:dyDescent="0.3">
      <c r="A144" s="28" t="s">
        <v>142</v>
      </c>
      <c r="B144" s="54" t="s">
        <v>88</v>
      </c>
      <c r="C144" s="54" t="s">
        <v>73</v>
      </c>
      <c r="D144" s="102">
        <v>1</v>
      </c>
      <c r="E144" s="100">
        <v>2219844.12</v>
      </c>
      <c r="F144" s="100">
        <v>2219844.12</v>
      </c>
      <c r="G144" s="126">
        <v>88793.764800000004</v>
      </c>
    </row>
    <row r="145" spans="1:7" ht="43.2" x14ac:dyDescent="0.3">
      <c r="A145" s="28" t="s">
        <v>143</v>
      </c>
      <c r="B145" s="54" t="s">
        <v>88</v>
      </c>
      <c r="C145" s="54" t="s">
        <v>73</v>
      </c>
      <c r="D145" s="102">
        <v>1</v>
      </c>
      <c r="E145" s="100">
        <v>11008.4</v>
      </c>
      <c r="F145" s="100">
        <v>11008.4</v>
      </c>
      <c r="G145" s="126">
        <v>440.33600000000001</v>
      </c>
    </row>
    <row r="146" spans="1:7" ht="28.8" x14ac:dyDescent="0.3">
      <c r="A146" s="28" t="s">
        <v>159</v>
      </c>
      <c r="B146" s="54" t="s">
        <v>88</v>
      </c>
      <c r="C146" s="54" t="s">
        <v>73</v>
      </c>
      <c r="D146" s="100">
        <v>20000</v>
      </c>
      <c r="E146" s="100">
        <v>868.399</v>
      </c>
      <c r="F146" s="100">
        <v>17367980</v>
      </c>
      <c r="G146" s="126">
        <v>700000</v>
      </c>
    </row>
    <row r="147" spans="1:7" ht="28.8" x14ac:dyDescent="0.3">
      <c r="A147" s="28" t="s">
        <v>144</v>
      </c>
      <c r="B147" s="54" t="s">
        <v>88</v>
      </c>
      <c r="C147" s="54" t="s">
        <v>73</v>
      </c>
      <c r="D147" s="102">
        <v>2</v>
      </c>
      <c r="E147" s="100">
        <v>105072.655</v>
      </c>
      <c r="F147" s="100">
        <v>210145.31</v>
      </c>
      <c r="G147" s="126">
        <v>7980</v>
      </c>
    </row>
    <row r="148" spans="1:7" ht="57.6" x14ac:dyDescent="0.3">
      <c r="A148" s="28" t="s">
        <v>145</v>
      </c>
      <c r="B148" s="54" t="s">
        <v>88</v>
      </c>
      <c r="C148" s="54" t="s">
        <v>73</v>
      </c>
      <c r="D148" s="102">
        <v>1</v>
      </c>
      <c r="E148" s="100">
        <v>1</v>
      </c>
      <c r="F148" s="100">
        <v>7812.03</v>
      </c>
      <c r="G148" s="126">
        <v>312.4812</v>
      </c>
    </row>
    <row r="149" spans="1:7" ht="43.2" x14ac:dyDescent="0.3">
      <c r="A149" s="28" t="s">
        <v>146</v>
      </c>
      <c r="B149" s="54" t="s">
        <v>88</v>
      </c>
      <c r="C149" s="54" t="s">
        <v>73</v>
      </c>
      <c r="D149" s="102">
        <v>1</v>
      </c>
      <c r="E149" s="100">
        <v>1</v>
      </c>
      <c r="F149" s="100">
        <v>5489.13</v>
      </c>
      <c r="G149" s="126">
        <v>219.5652</v>
      </c>
    </row>
    <row r="150" spans="1:7" ht="43.2" x14ac:dyDescent="0.3">
      <c r="A150" s="28" t="s">
        <v>147</v>
      </c>
      <c r="B150" s="54" t="s">
        <v>88</v>
      </c>
      <c r="C150" s="54" t="s">
        <v>73</v>
      </c>
      <c r="D150" s="102">
        <v>1</v>
      </c>
      <c r="E150" s="100">
        <v>1</v>
      </c>
      <c r="F150" s="100">
        <v>5489.13</v>
      </c>
      <c r="G150" s="126">
        <v>219.5652</v>
      </c>
    </row>
    <row r="151" spans="1:7" x14ac:dyDescent="0.3">
      <c r="A151" s="28" t="s">
        <v>148</v>
      </c>
      <c r="B151" s="54" t="s">
        <v>88</v>
      </c>
      <c r="C151" s="54" t="s">
        <v>73</v>
      </c>
      <c r="D151" s="102">
        <v>75</v>
      </c>
      <c r="E151" s="100">
        <v>21366.373066666667</v>
      </c>
      <c r="F151" s="100">
        <v>1602477.98</v>
      </c>
      <c r="G151" s="126">
        <v>64500</v>
      </c>
    </row>
    <row r="152" spans="1:7" ht="28.8" x14ac:dyDescent="0.3">
      <c r="A152" s="28" t="s">
        <v>162</v>
      </c>
      <c r="B152" s="54" t="s">
        <v>88</v>
      </c>
      <c r="C152" s="54" t="s">
        <v>73</v>
      </c>
      <c r="D152" s="102">
        <v>1</v>
      </c>
      <c r="E152" s="100">
        <v>1</v>
      </c>
      <c r="F152" s="100">
        <v>22861.34</v>
      </c>
      <c r="G152" s="100">
        <f>+F152/25</f>
        <v>914.45360000000005</v>
      </c>
    </row>
    <row r="153" spans="1:7" ht="28.8" x14ac:dyDescent="0.3">
      <c r="A153" s="28" t="s">
        <v>163</v>
      </c>
      <c r="B153" s="54" t="s">
        <v>88</v>
      </c>
      <c r="C153" s="54" t="s">
        <v>73</v>
      </c>
      <c r="D153" s="102">
        <v>1</v>
      </c>
      <c r="E153" s="100">
        <v>1</v>
      </c>
      <c r="F153" s="100">
        <v>57071.97</v>
      </c>
      <c r="G153" s="100">
        <f>+F153/25</f>
        <v>2282.8788</v>
      </c>
    </row>
    <row r="154" spans="1:7" ht="28.8" x14ac:dyDescent="0.3">
      <c r="A154" s="28" t="s">
        <v>159</v>
      </c>
      <c r="B154" s="54" t="s">
        <v>88</v>
      </c>
      <c r="C154" s="54" t="s">
        <v>73</v>
      </c>
      <c r="D154" s="100">
        <v>20000</v>
      </c>
      <c r="E154" s="100">
        <v>868.399</v>
      </c>
      <c r="F154" s="100">
        <v>17367980</v>
      </c>
      <c r="G154" s="126">
        <v>700000</v>
      </c>
    </row>
    <row r="155" spans="1:7" ht="28.8" x14ac:dyDescent="0.3">
      <c r="A155" s="28" t="s">
        <v>176</v>
      </c>
      <c r="B155" s="54" t="s">
        <v>88</v>
      </c>
      <c r="C155" s="54" t="s">
        <v>73</v>
      </c>
      <c r="D155" s="100">
        <v>20000</v>
      </c>
      <c r="E155" s="100">
        <v>868.399</v>
      </c>
      <c r="F155" s="100">
        <v>-17367980</v>
      </c>
      <c r="G155" s="126">
        <v>-700000</v>
      </c>
    </row>
    <row r="156" spans="1:7" ht="28.8" x14ac:dyDescent="0.3">
      <c r="A156" s="145" t="s">
        <v>195</v>
      </c>
      <c r="B156" s="128" t="s">
        <v>175</v>
      </c>
      <c r="C156" s="54" t="s">
        <v>127</v>
      </c>
      <c r="D156" s="100">
        <v>63</v>
      </c>
      <c r="E156" s="100">
        <v>52500</v>
      </c>
      <c r="F156" s="100">
        <v>3803625</v>
      </c>
      <c r="G156" s="126">
        <v>153155.21177688029</v>
      </c>
    </row>
    <row r="157" spans="1:7" ht="57.6" x14ac:dyDescent="0.3">
      <c r="A157" s="145" t="s">
        <v>213</v>
      </c>
      <c r="B157" s="128" t="s">
        <v>175</v>
      </c>
      <c r="C157" s="54" t="s">
        <v>127</v>
      </c>
      <c r="D157" s="100">
        <v>1</v>
      </c>
      <c r="E157" s="100">
        <v>1328972.43</v>
      </c>
      <c r="F157" s="100">
        <v>1328972.43</v>
      </c>
      <c r="G157" s="126">
        <v>53511.861438045344</v>
      </c>
    </row>
    <row r="158" spans="1:7" ht="28.8" x14ac:dyDescent="0.3">
      <c r="A158" s="145" t="s">
        <v>196</v>
      </c>
      <c r="B158" s="128" t="s">
        <v>175</v>
      </c>
      <c r="C158" s="54" t="s">
        <v>127</v>
      </c>
      <c r="D158" s="100">
        <v>30</v>
      </c>
      <c r="E158" s="100">
        <v>19000</v>
      </c>
      <c r="F158" s="100">
        <v>655500</v>
      </c>
      <c r="G158" s="126">
        <v>26394.095453612023</v>
      </c>
    </row>
    <row r="159" spans="1:7" ht="43.2" x14ac:dyDescent="0.3">
      <c r="A159" s="28" t="s">
        <v>149</v>
      </c>
      <c r="B159" s="54" t="s">
        <v>88</v>
      </c>
      <c r="C159" s="54" t="s">
        <v>73</v>
      </c>
      <c r="D159" s="102">
        <v>1</v>
      </c>
      <c r="E159" s="100">
        <v>1</v>
      </c>
      <c r="F159" s="100">
        <v>2761245</v>
      </c>
      <c r="G159" s="126">
        <v>110449.8</v>
      </c>
    </row>
    <row r="160" spans="1:7" x14ac:dyDescent="0.3">
      <c r="A160" s="28" t="s">
        <v>90</v>
      </c>
      <c r="B160" s="54" t="s">
        <v>42</v>
      </c>
      <c r="C160" s="54" t="s">
        <v>73</v>
      </c>
      <c r="D160" s="54">
        <f>12</f>
        <v>12</v>
      </c>
      <c r="E160" s="100">
        <v>34000</v>
      </c>
      <c r="F160" s="100">
        <f>D160*E160</f>
        <v>408000</v>
      </c>
      <c r="G160" s="101">
        <f>F160/25</f>
        <v>16320</v>
      </c>
    </row>
    <row r="161" spans="1:7" x14ac:dyDescent="0.3">
      <c r="A161" s="28" t="s">
        <v>93</v>
      </c>
      <c r="B161" s="54" t="s">
        <v>42</v>
      </c>
      <c r="C161" s="54" t="s">
        <v>73</v>
      </c>
      <c r="D161" s="54">
        <f>12</f>
        <v>12</v>
      </c>
      <c r="E161" s="100">
        <v>6500</v>
      </c>
      <c r="F161" s="100">
        <f>D161*E161</f>
        <v>78000</v>
      </c>
      <c r="G161" s="101">
        <f>F161/25</f>
        <v>3120</v>
      </c>
    </row>
    <row r="162" spans="1:7" x14ac:dyDescent="0.3">
      <c r="A162" s="28" t="s">
        <v>94</v>
      </c>
      <c r="B162" s="54" t="s">
        <v>42</v>
      </c>
      <c r="C162" s="54" t="s">
        <v>73</v>
      </c>
      <c r="D162" s="102">
        <v>200</v>
      </c>
      <c r="E162" s="100">
        <v>3000</v>
      </c>
      <c r="F162" s="100">
        <f>D162*E162</f>
        <v>600000</v>
      </c>
      <c r="G162" s="101">
        <f>F162/25</f>
        <v>24000</v>
      </c>
    </row>
    <row r="163" spans="1:7" x14ac:dyDescent="0.3">
      <c r="A163" s="28" t="s">
        <v>95</v>
      </c>
      <c r="B163" s="54" t="s">
        <v>42</v>
      </c>
      <c r="C163" s="54" t="s">
        <v>73</v>
      </c>
      <c r="D163" s="102">
        <v>300</v>
      </c>
      <c r="E163" s="100">
        <v>300</v>
      </c>
      <c r="F163" s="100">
        <f t="shared" ref="F163:F181" si="13">D163*E163</f>
        <v>90000</v>
      </c>
      <c r="G163" s="101">
        <f t="shared" ref="G163:G181" si="14">F163/25</f>
        <v>3600</v>
      </c>
    </row>
    <row r="164" spans="1:7" x14ac:dyDescent="0.3">
      <c r="A164" s="28" t="s">
        <v>96</v>
      </c>
      <c r="B164" s="54" t="s">
        <v>42</v>
      </c>
      <c r="C164" s="54" t="s">
        <v>73</v>
      </c>
      <c r="D164" s="102">
        <v>1000</v>
      </c>
      <c r="E164" s="100">
        <v>520</v>
      </c>
      <c r="F164" s="100">
        <f t="shared" si="13"/>
        <v>520000</v>
      </c>
      <c r="G164" s="101">
        <f t="shared" si="14"/>
        <v>20800</v>
      </c>
    </row>
    <row r="165" spans="1:7" x14ac:dyDescent="0.3">
      <c r="A165" s="28" t="s">
        <v>97</v>
      </c>
      <c r="B165" s="54" t="s">
        <v>42</v>
      </c>
      <c r="C165" s="54" t="s">
        <v>73</v>
      </c>
      <c r="D165" s="102">
        <v>1000</v>
      </c>
      <c r="E165" s="100">
        <v>250</v>
      </c>
      <c r="F165" s="100">
        <f t="shared" si="13"/>
        <v>250000</v>
      </c>
      <c r="G165" s="101">
        <f t="shared" si="14"/>
        <v>10000</v>
      </c>
    </row>
    <row r="166" spans="1:7" x14ac:dyDescent="0.3">
      <c r="A166" s="28" t="s">
        <v>98</v>
      </c>
      <c r="B166" s="54" t="s">
        <v>42</v>
      </c>
      <c r="C166" s="54" t="s">
        <v>73</v>
      </c>
      <c r="D166" s="102">
        <f>68</f>
        <v>68</v>
      </c>
      <c r="E166" s="100">
        <v>3500</v>
      </c>
      <c r="F166" s="100">
        <f t="shared" si="13"/>
        <v>238000</v>
      </c>
      <c r="G166" s="101">
        <f t="shared" si="14"/>
        <v>9520</v>
      </c>
    </row>
    <row r="167" spans="1:7" x14ac:dyDescent="0.3">
      <c r="A167" s="28" t="s">
        <v>99</v>
      </c>
      <c r="B167" s="54" t="s">
        <v>42</v>
      </c>
      <c r="C167" s="54" t="s">
        <v>73</v>
      </c>
      <c r="D167" s="102">
        <f>550</f>
        <v>550</v>
      </c>
      <c r="E167" s="100">
        <v>300</v>
      </c>
      <c r="F167" s="100">
        <f t="shared" si="13"/>
        <v>165000</v>
      </c>
      <c r="G167" s="101">
        <f t="shared" si="14"/>
        <v>6600</v>
      </c>
    </row>
    <row r="168" spans="1:7" ht="14.4" customHeight="1" x14ac:dyDescent="0.3">
      <c r="A168" s="28" t="s">
        <v>100</v>
      </c>
      <c r="B168" s="54" t="s">
        <v>42</v>
      </c>
      <c r="C168" s="54" t="s">
        <v>73</v>
      </c>
      <c r="D168" s="177" t="s">
        <v>128</v>
      </c>
      <c r="E168" s="178"/>
      <c r="F168" s="100">
        <f>115125+123958.5</f>
        <v>239083.5</v>
      </c>
      <c r="G168" s="101">
        <f t="shared" si="14"/>
        <v>9563.34</v>
      </c>
    </row>
    <row r="169" spans="1:7" x14ac:dyDescent="0.3">
      <c r="A169" s="28" t="s">
        <v>101</v>
      </c>
      <c r="B169" s="54" t="s">
        <v>42</v>
      </c>
      <c r="C169" s="54" t="s">
        <v>73</v>
      </c>
      <c r="D169" s="102">
        <v>9</v>
      </c>
      <c r="E169" s="100">
        <v>9816.52</v>
      </c>
      <c r="F169" s="100">
        <f t="shared" si="13"/>
        <v>88348.680000000008</v>
      </c>
      <c r="G169" s="101">
        <f t="shared" si="14"/>
        <v>3533.9472000000005</v>
      </c>
    </row>
    <row r="170" spans="1:7" x14ac:dyDescent="0.3">
      <c r="A170" s="28" t="s">
        <v>102</v>
      </c>
      <c r="B170" s="54" t="s">
        <v>42</v>
      </c>
      <c r="C170" s="54" t="s">
        <v>73</v>
      </c>
      <c r="D170" s="102">
        <v>9</v>
      </c>
      <c r="E170" s="100">
        <v>12248.7</v>
      </c>
      <c r="F170" s="100">
        <f t="shared" si="13"/>
        <v>110238.3</v>
      </c>
      <c r="G170" s="101">
        <f t="shared" si="14"/>
        <v>4409.5320000000002</v>
      </c>
    </row>
    <row r="171" spans="1:7" x14ac:dyDescent="0.3">
      <c r="A171" s="28" t="s">
        <v>103</v>
      </c>
      <c r="B171" s="54" t="s">
        <v>42</v>
      </c>
      <c r="C171" s="54" t="s">
        <v>73</v>
      </c>
      <c r="D171" s="102">
        <v>16</v>
      </c>
      <c r="E171" s="100">
        <v>8517</v>
      </c>
      <c r="F171" s="100">
        <f t="shared" si="13"/>
        <v>136272</v>
      </c>
      <c r="G171" s="101">
        <f t="shared" si="14"/>
        <v>5450.88</v>
      </c>
    </row>
    <row r="172" spans="1:7" x14ac:dyDescent="0.3">
      <c r="A172" s="28" t="s">
        <v>104</v>
      </c>
      <c r="B172" s="54" t="s">
        <v>42</v>
      </c>
      <c r="C172" s="54" t="s">
        <v>73</v>
      </c>
      <c r="D172" s="102">
        <v>17</v>
      </c>
      <c r="E172" s="100">
        <v>10231.299999999999</v>
      </c>
      <c r="F172" s="100">
        <f t="shared" si="13"/>
        <v>173932.09999999998</v>
      </c>
      <c r="G172" s="101">
        <f t="shared" si="14"/>
        <v>6957.2839999999987</v>
      </c>
    </row>
    <row r="173" spans="1:7" x14ac:dyDescent="0.3">
      <c r="A173" s="28" t="s">
        <v>105</v>
      </c>
      <c r="B173" s="54" t="s">
        <v>42</v>
      </c>
      <c r="C173" s="54" t="s">
        <v>73</v>
      </c>
      <c r="D173" s="102">
        <v>12</v>
      </c>
      <c r="E173" s="100">
        <v>5000</v>
      </c>
      <c r="F173" s="100">
        <f t="shared" si="13"/>
        <v>60000</v>
      </c>
      <c r="G173" s="101">
        <f t="shared" si="14"/>
        <v>2400</v>
      </c>
    </row>
    <row r="174" spans="1:7" x14ac:dyDescent="0.3">
      <c r="A174" s="28" t="s">
        <v>106</v>
      </c>
      <c r="B174" s="54" t="s">
        <v>42</v>
      </c>
      <c r="C174" s="54" t="s">
        <v>73</v>
      </c>
      <c r="D174" s="102">
        <f>10</f>
        <v>10</v>
      </c>
      <c r="E174" s="100">
        <v>7000</v>
      </c>
      <c r="F174" s="100">
        <f t="shared" si="13"/>
        <v>70000</v>
      </c>
      <c r="G174" s="101">
        <f t="shared" si="14"/>
        <v>2800</v>
      </c>
    </row>
    <row r="175" spans="1:7" x14ac:dyDescent="0.3">
      <c r="A175" s="28" t="s">
        <v>107</v>
      </c>
      <c r="B175" s="54" t="s">
        <v>42</v>
      </c>
      <c r="C175" s="54" t="s">
        <v>73</v>
      </c>
      <c r="D175" s="102">
        <v>10</v>
      </c>
      <c r="E175" s="100">
        <v>4000</v>
      </c>
      <c r="F175" s="100">
        <f t="shared" si="13"/>
        <v>40000</v>
      </c>
      <c r="G175" s="101">
        <f t="shared" si="14"/>
        <v>1600</v>
      </c>
    </row>
    <row r="176" spans="1:7" x14ac:dyDescent="0.3">
      <c r="A176" s="28" t="s">
        <v>108</v>
      </c>
      <c r="B176" s="54" t="s">
        <v>42</v>
      </c>
      <c r="C176" s="54" t="s">
        <v>73</v>
      </c>
      <c r="D176" s="102">
        <v>2</v>
      </c>
      <c r="E176" s="100">
        <v>10000</v>
      </c>
      <c r="F176" s="100">
        <f t="shared" si="13"/>
        <v>20000</v>
      </c>
      <c r="G176" s="101">
        <f t="shared" si="14"/>
        <v>800</v>
      </c>
    </row>
    <row r="177" spans="1:7" x14ac:dyDescent="0.3">
      <c r="A177" s="28" t="s">
        <v>99</v>
      </c>
      <c r="B177" s="54" t="s">
        <v>42</v>
      </c>
      <c r="C177" s="54" t="s">
        <v>73</v>
      </c>
      <c r="D177" s="102">
        <v>50</v>
      </c>
      <c r="E177" s="100">
        <v>400</v>
      </c>
      <c r="F177" s="100">
        <f t="shared" si="13"/>
        <v>20000</v>
      </c>
      <c r="G177" s="101">
        <f t="shared" si="14"/>
        <v>800</v>
      </c>
    </row>
    <row r="178" spans="1:7" x14ac:dyDescent="0.3">
      <c r="A178" s="28" t="s">
        <v>109</v>
      </c>
      <c r="B178" s="54" t="s">
        <v>42</v>
      </c>
      <c r="C178" s="54" t="s">
        <v>73</v>
      </c>
      <c r="D178" s="102">
        <v>6</v>
      </c>
      <c r="E178" s="100">
        <v>6920.87</v>
      </c>
      <c r="F178" s="100">
        <f t="shared" si="13"/>
        <v>41525.22</v>
      </c>
      <c r="G178" s="101">
        <f t="shared" si="14"/>
        <v>1661.0088000000001</v>
      </c>
    </row>
    <row r="179" spans="1:7" x14ac:dyDescent="0.3">
      <c r="A179" s="28" t="s">
        <v>110</v>
      </c>
      <c r="B179" s="54" t="s">
        <v>42</v>
      </c>
      <c r="C179" s="54" t="s">
        <v>73</v>
      </c>
      <c r="D179" s="102">
        <v>2</v>
      </c>
      <c r="E179" s="100">
        <v>5260.87</v>
      </c>
      <c r="F179" s="100">
        <f t="shared" si="13"/>
        <v>10521.74</v>
      </c>
      <c r="G179" s="101">
        <f t="shared" si="14"/>
        <v>420.86959999999999</v>
      </c>
    </row>
    <row r="180" spans="1:7" x14ac:dyDescent="0.3">
      <c r="A180" s="28" t="s">
        <v>111</v>
      </c>
      <c r="B180" s="54" t="s">
        <v>42</v>
      </c>
      <c r="C180" s="54" t="s">
        <v>73</v>
      </c>
      <c r="D180" s="102">
        <v>37</v>
      </c>
      <c r="E180" s="100">
        <v>3200</v>
      </c>
      <c r="F180" s="100">
        <f t="shared" si="13"/>
        <v>118400</v>
      </c>
      <c r="G180" s="101">
        <f t="shared" si="14"/>
        <v>4736</v>
      </c>
    </row>
    <row r="181" spans="1:7" x14ac:dyDescent="0.3">
      <c r="A181" s="28" t="s">
        <v>112</v>
      </c>
      <c r="B181" s="54" t="s">
        <v>42</v>
      </c>
      <c r="C181" s="54" t="s">
        <v>73</v>
      </c>
      <c r="D181" s="102">
        <v>3</v>
      </c>
      <c r="E181" s="100">
        <v>1500</v>
      </c>
      <c r="F181" s="100">
        <f t="shared" si="13"/>
        <v>4500</v>
      </c>
      <c r="G181" s="101">
        <f t="shared" si="14"/>
        <v>180</v>
      </c>
    </row>
    <row r="182" spans="1:7" x14ac:dyDescent="0.3">
      <c r="A182" s="104" t="s">
        <v>114</v>
      </c>
      <c r="B182" s="30" t="s">
        <v>42</v>
      </c>
      <c r="C182" s="85" t="s">
        <v>73</v>
      </c>
      <c r="D182" s="105">
        <v>1</v>
      </c>
      <c r="E182" s="32">
        <v>4636245.5</v>
      </c>
      <c r="F182" s="32">
        <v>4636245.5</v>
      </c>
      <c r="G182" s="106">
        <f>+F182/25</f>
        <v>185449.82</v>
      </c>
    </row>
    <row r="183" spans="1:7" x14ac:dyDescent="0.3">
      <c r="A183" s="104" t="s">
        <v>117</v>
      </c>
      <c r="B183" s="30" t="s">
        <v>42</v>
      </c>
      <c r="C183" s="85" t="s">
        <v>73</v>
      </c>
      <c r="D183" s="105">
        <v>1</v>
      </c>
      <c r="E183" s="50">
        <v>947583.5</v>
      </c>
      <c r="F183" s="32">
        <v>947583.5</v>
      </c>
      <c r="G183" s="106">
        <f>+F183/25</f>
        <v>37903.339999999997</v>
      </c>
    </row>
    <row r="184" spans="1:7" x14ac:dyDescent="0.3">
      <c r="A184" s="104" t="s">
        <v>118</v>
      </c>
      <c r="B184" s="30" t="s">
        <v>88</v>
      </c>
      <c r="C184" s="30" t="s">
        <v>73</v>
      </c>
      <c r="D184" s="105">
        <v>2</v>
      </c>
      <c r="E184" s="108">
        <v>196393220.25999999</v>
      </c>
      <c r="F184" s="108">
        <v>392786440.51999998</v>
      </c>
      <c r="G184" s="33">
        <v>15900032.000323841</v>
      </c>
    </row>
    <row r="185" spans="1:7" x14ac:dyDescent="0.3">
      <c r="A185" s="104" t="s">
        <v>119</v>
      </c>
      <c r="B185" s="30" t="s">
        <v>88</v>
      </c>
      <c r="C185" s="30" t="s">
        <v>73</v>
      </c>
      <c r="D185" s="105">
        <v>1</v>
      </c>
      <c r="E185" s="108">
        <v>196903215</v>
      </c>
      <c r="F185" s="108">
        <v>196903215</v>
      </c>
      <c r="G185" s="33">
        <v>7950000</v>
      </c>
    </row>
    <row r="186" spans="1:7" x14ac:dyDescent="0.3">
      <c r="A186" s="104" t="s">
        <v>120</v>
      </c>
      <c r="B186" s="30" t="s">
        <v>88</v>
      </c>
      <c r="C186" s="30" t="s">
        <v>73</v>
      </c>
      <c r="D186" s="105">
        <v>4</v>
      </c>
      <c r="E186" s="108">
        <v>142414275</v>
      </c>
      <c r="F186" s="108">
        <v>569657100</v>
      </c>
      <c r="G186" s="33">
        <v>23000000</v>
      </c>
    </row>
    <row r="187" spans="1:7" x14ac:dyDescent="0.3">
      <c r="A187" s="104" t="s">
        <v>121</v>
      </c>
      <c r="B187" s="30" t="s">
        <v>88</v>
      </c>
      <c r="C187" s="30" t="s">
        <v>73</v>
      </c>
      <c r="D187" s="105">
        <v>7</v>
      </c>
      <c r="E187" s="108">
        <v>2167286.96</v>
      </c>
      <c r="F187" s="108">
        <v>15171008.719999999</v>
      </c>
      <c r="G187" s="33">
        <v>612531.99610783393</v>
      </c>
    </row>
    <row r="188" spans="1:7" ht="57.6" x14ac:dyDescent="0.3">
      <c r="A188" s="135" t="s">
        <v>185</v>
      </c>
      <c r="B188" s="30" t="s">
        <v>88</v>
      </c>
      <c r="C188" s="30" t="s">
        <v>73</v>
      </c>
      <c r="D188" s="137">
        <v>1</v>
      </c>
      <c r="E188" s="138">
        <v>40334.83</v>
      </c>
      <c r="F188" s="139">
        <v>40334.83</v>
      </c>
      <c r="G188" s="140">
        <v>1613.3932</v>
      </c>
    </row>
    <row r="189" spans="1:7" x14ac:dyDescent="0.3">
      <c r="F189" s="149"/>
    </row>
    <row r="190" spans="1:7" x14ac:dyDescent="0.3">
      <c r="F190" s="149"/>
    </row>
    <row r="191" spans="1:7" x14ac:dyDescent="0.3">
      <c r="F191" s="1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Bienes</vt:lpstr>
      <vt:lpstr>Hoja2</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Misael Campos Carias</dc:creator>
  <cp:lastModifiedBy>Misael Campos Carias</cp:lastModifiedBy>
  <dcterms:created xsi:type="dcterms:W3CDTF">2020-04-04T06:09:36Z</dcterms:created>
  <dcterms:modified xsi:type="dcterms:W3CDTF">2021-01-18T23:39:37Z</dcterms:modified>
</cp:coreProperties>
</file>