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Sefin\2022\fondos externos enero\"/>
    </mc:Choice>
  </mc:AlternateContent>
  <xr:revisionPtr revIDLastSave="0" documentId="8_{799C3054-8B9D-4AB8-93B7-ED69C77115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rafico.Web" sheetId="6" r:id="rId1"/>
    <sheet name="Préstamos" sheetId="13" r:id="rId2"/>
    <sheet name="Donaciones" sheetId="10" r:id="rId3"/>
  </sheets>
  <definedNames>
    <definedName name="_xlnm.Print_Area" localSheetId="2">Donaciones!$B$1:$E$42</definedName>
    <definedName name="_xlnm.Print_Area" localSheetId="1">Préstamos!$B$1:$I$40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3" l="1"/>
  <c r="F24" i="13" l="1"/>
  <c r="J24" i="13" l="1"/>
  <c r="C31" i="13" l="1"/>
  <c r="H31" i="13"/>
  <c r="H22" i="13" l="1"/>
  <c r="I29" i="13" l="1"/>
  <c r="I9" i="13"/>
  <c r="F9" i="13"/>
  <c r="C34" i="13"/>
  <c r="H34" i="13"/>
  <c r="I34" i="13"/>
  <c r="F34" i="13"/>
  <c r="K34" i="13"/>
  <c r="C47" i="13"/>
  <c r="F44" i="13"/>
  <c r="C23" i="13"/>
  <c r="C17" i="13" s="1"/>
  <c r="I23" i="13"/>
  <c r="F20" i="13"/>
  <c r="F14" i="13"/>
  <c r="F7" i="13"/>
  <c r="C7" i="13" s="1"/>
  <c r="H11" i="13"/>
  <c r="F33" i="13"/>
  <c r="F15" i="13"/>
  <c r="I7" i="13"/>
  <c r="C11" i="13"/>
  <c r="I14" i="13"/>
  <c r="I15" i="13"/>
  <c r="F16" i="13"/>
  <c r="F19" i="13"/>
  <c r="I22" i="13"/>
  <c r="I21" i="13"/>
  <c r="I20" i="13"/>
  <c r="I19" i="13"/>
  <c r="I18" i="13"/>
  <c r="I32" i="13"/>
  <c r="I31" i="13"/>
  <c r="I28" i="13"/>
  <c r="I26" i="13"/>
  <c r="I24" i="13"/>
  <c r="H17" i="13"/>
  <c r="I12" i="13"/>
  <c r="I16" i="13"/>
  <c r="I13" i="13"/>
  <c r="H10" i="13"/>
  <c r="F10" i="13"/>
  <c r="C10" i="13" s="1"/>
  <c r="G8" i="13"/>
  <c r="G6" i="13" s="1"/>
  <c r="F32" i="13"/>
  <c r="F31" i="13"/>
  <c r="F30" i="13"/>
  <c r="G30" i="13"/>
  <c r="I30" i="13" s="1"/>
  <c r="F28" i="13"/>
  <c r="E41" i="10"/>
  <c r="D38" i="10"/>
  <c r="D41" i="10"/>
  <c r="F21" i="13"/>
  <c r="G11" i="13"/>
  <c r="F27" i="13"/>
  <c r="F22" i="13"/>
  <c r="F18" i="13"/>
  <c r="F13" i="13"/>
  <c r="F12" i="13"/>
  <c r="G27" i="13"/>
  <c r="G25" i="13" s="1"/>
  <c r="G17" i="13"/>
  <c r="C19" i="10"/>
  <c r="C13" i="10"/>
  <c r="C9" i="10"/>
  <c r="C22" i="10" s="1"/>
  <c r="C23" i="10" s="1"/>
  <c r="I10" i="13"/>
  <c r="H33" i="13"/>
  <c r="I33" i="13" s="1"/>
  <c r="H25" i="13"/>
  <c r="H6" i="13"/>
  <c r="I27" i="13"/>
  <c r="I8" i="13" l="1"/>
  <c r="F17" i="13"/>
  <c r="F11" i="13"/>
  <c r="I25" i="13"/>
  <c r="I6" i="13"/>
  <c r="G35" i="13"/>
  <c r="C6" i="13"/>
  <c r="I11" i="13"/>
  <c r="F8" i="13"/>
  <c r="C8" i="13" s="1"/>
  <c r="F29" i="13"/>
  <c r="F25" i="13" s="1"/>
  <c r="C25" i="13"/>
  <c r="I17" i="13"/>
  <c r="H35" i="13"/>
  <c r="C35" i="13" l="1"/>
  <c r="C45" i="13" s="1"/>
  <c r="I35" i="13"/>
  <c r="C6" i="6" s="1"/>
  <c r="F6" i="13"/>
  <c r="F35" i="13" s="1"/>
  <c r="C4" i="6" l="1"/>
  <c r="C5" i="6"/>
  <c r="F45" i="13"/>
</calcChain>
</file>

<file path=xl/sharedStrings.xml><?xml version="1.0" encoding="utf-8"?>
<sst xmlns="http://schemas.openxmlformats.org/spreadsheetml/2006/main" count="166" uniqueCount="98">
  <si>
    <t xml:space="preserve">Reorientación de Proyectos en Ejecución BID </t>
  </si>
  <si>
    <t>BM</t>
  </si>
  <si>
    <t>BID</t>
  </si>
  <si>
    <t>BCIE</t>
  </si>
  <si>
    <t>FMI</t>
  </si>
  <si>
    <t>Kit de pruebas para COVID-19</t>
  </si>
  <si>
    <t>Organismo</t>
  </si>
  <si>
    <t>Reorientación de Proyectos en Ejecución BCIE</t>
  </si>
  <si>
    <t>Monto</t>
  </si>
  <si>
    <t>Operación</t>
  </si>
  <si>
    <t xml:space="preserve">Monto </t>
  </si>
  <si>
    <t>II APOYOS PRESUPUESTARIOS-PROYECTO COVID-19</t>
  </si>
  <si>
    <t>Programa de Desarrollo Integral en Zonas Rurales</t>
  </si>
  <si>
    <t>Status</t>
  </si>
  <si>
    <t>En Proceso</t>
  </si>
  <si>
    <t>Suscrito</t>
  </si>
  <si>
    <r>
      <t xml:space="preserve">Operaciones de Credito Externo
</t>
    </r>
    <r>
      <rPr>
        <sz val="9"/>
        <color theme="1"/>
        <rFont val="Calibri"/>
        <family val="2"/>
        <scheme val="minor"/>
      </rPr>
      <t>Millones de US$</t>
    </r>
  </si>
  <si>
    <t>Operaciones Suscritas</t>
  </si>
  <si>
    <t xml:space="preserve">Desembolsos Recibidos </t>
  </si>
  <si>
    <t>Cifras en Millones de US Dólares</t>
  </si>
  <si>
    <t>Apoyo Presupuestario a través de BCH</t>
  </si>
  <si>
    <t>DECRETO LEGISLATIVO 33-2020 (años 2020-2021)</t>
  </si>
  <si>
    <t>Reorientación de Proyectos en Ejecución BM</t>
  </si>
  <si>
    <t>Crédito para Políticas de Desarrollo sobre Gestión del Riesgo de Desastres con Opción de Desembolso Diferido ante Catástrofes (CAT-DDO)</t>
  </si>
  <si>
    <t>Proyecto de Respuesta a Emergencias Honduras COVID-19</t>
  </si>
  <si>
    <t>Integrando la Inovacion para la Competitividad Rural en Honduras COMRURAL II</t>
  </si>
  <si>
    <t>Resiliencia Hídrica en el Corredor Seco</t>
  </si>
  <si>
    <t>I. REORIENTACIÓN DE RECURSOS (BID, BM, BCIE)</t>
  </si>
  <si>
    <t>Taiwan</t>
  </si>
  <si>
    <t>III. PROYECTOS SECTOR AGROALIMENTARIO</t>
  </si>
  <si>
    <t>TOTAL DONACIONES</t>
  </si>
  <si>
    <t>PLAN DE FINANCIAMIENTO: Operaciones Suscritas y en Gestión</t>
  </si>
  <si>
    <t>DISPONIBLE POR GESTIONAR</t>
  </si>
  <si>
    <t>Desembolsado</t>
  </si>
  <si>
    <t>Apoyo para compra de insumos y equipamiento para atender COVID-19</t>
  </si>
  <si>
    <t>Apoyo a la emergencia para atender COVID-19</t>
  </si>
  <si>
    <t>Suscrito/
Desembolsado</t>
  </si>
  <si>
    <t>España</t>
  </si>
  <si>
    <t>Programa para la Reactivación Económica a través de la MIPYME”</t>
  </si>
  <si>
    <t>Programa de Reformas del Sector Transporte y Logistica de Carga de Honduras II</t>
  </si>
  <si>
    <t xml:space="preserve">Total Recursos Sucritos y Gestionados </t>
  </si>
  <si>
    <t>IV. APOYO PRESUPUESTARIO</t>
  </si>
  <si>
    <t>Proyecto de Ayuda de Emergencia Sanitaria en Honduras por COVID-19</t>
  </si>
  <si>
    <t>Respuesta Inmediata de Salud para Contener y Controlar el Coronavirus (Covid – 19) y Mitigar su Efecto en la Prestación del Servicio, en Honduras.</t>
  </si>
  <si>
    <t>Reorientación de Proyectos en Ejecución BM 
(En proceso $2.8mm)</t>
  </si>
  <si>
    <t>Actualizado al 19 de mayo de 2020</t>
  </si>
  <si>
    <t>Operación de Politica de Desarrollo de Emergencia ante el COVID-19</t>
  </si>
  <si>
    <t>Unión Europea</t>
  </si>
  <si>
    <t>Apoyo a la emergencia para atender COVID-19 
(Monto indicativo en proceso de aprobación)</t>
  </si>
  <si>
    <t>Total Operaciones Suscritas y en Gestión</t>
  </si>
  <si>
    <r>
      <t xml:space="preserve">Operaciones Gestionadas </t>
    </r>
    <r>
      <rPr>
        <sz val="9"/>
        <color theme="1"/>
        <rFont val="Calibri"/>
        <family val="2"/>
        <scheme val="minor"/>
      </rPr>
      <t xml:space="preserve">(incluye reorientacion de recursos externos) </t>
    </r>
    <r>
      <rPr>
        <sz val="11"/>
        <color theme="1"/>
        <rFont val="Calibri"/>
        <family val="2"/>
        <scheme val="minor"/>
      </rPr>
      <t xml:space="preserve"> </t>
    </r>
  </si>
  <si>
    <t>Total</t>
  </si>
  <si>
    <t>IV. APOYOS PRESUPUESTARIOS</t>
  </si>
  <si>
    <t>Proyecto para el Fortalecimiento del Servicio Urbano de Agua Potable en Honduras</t>
  </si>
  <si>
    <t>Proyecto de Seguridad Hídrica en el Corredor Seco de Honduras</t>
  </si>
  <si>
    <t xml:space="preserve">Programa de Emergencia de Apoyo y Preparación ante el COVID-19 y de Reactivación Económica </t>
  </si>
  <si>
    <t>III. PROGRAMAS Y PROYECTOS SECTOR AGROALIMENTARIO- AGUA Y SANEAMIENTO</t>
  </si>
  <si>
    <t>Endeudamiento Adicional con Bonos Internos</t>
  </si>
  <si>
    <t>Bonos GDH</t>
  </si>
  <si>
    <t>Banco Mundial</t>
  </si>
  <si>
    <t>Kit de toma de muestra para pruebas COVID-19</t>
  </si>
  <si>
    <t>Apoyo Presupuestario a través de BCH- II Etapa</t>
  </si>
  <si>
    <t>PLAN DE FINANCIAMIENTO PARA ATENDER LOS EFECTOS DERIVADOS DEL COVID-19: 
Operaciones Suscritas y en Gestión</t>
  </si>
  <si>
    <t>Contribuir a frenar la pandemia del Coronavirus (COVID-19)</t>
  </si>
  <si>
    <t>DONACIONES RECIBIDAS PARA ATENDER LOS EFECTOS DERIVADOS DEL COVID-19, CANALIZADAS A TRAVÉS DE LA SEFIN</t>
  </si>
  <si>
    <t>Programa de Apoyo a la Implementación de la Ley General de la Industria Eléctrica (LGIE) en Honduras</t>
  </si>
  <si>
    <t>Aprobado Mediante Decretos Legislativos No.33-2020 y No.92-2020</t>
  </si>
  <si>
    <t>DECRETOS LEGISLATIVOS 33-2020 y 92-2020 (años 2020-2021)</t>
  </si>
  <si>
    <t>GAFSP</t>
  </si>
  <si>
    <t>Proyecto de Seguridad Alimentaria en el Corredor Seco (ACS-PROSASUR) (Financiamiento adicional para respuesta ante el COVID-19)</t>
  </si>
  <si>
    <t>2/ Monto total aplicado en Lempiras ascendió a L2,011.4 millones.</t>
  </si>
  <si>
    <t>BCH</t>
  </si>
  <si>
    <t>Convenio de Préstamo por Moratoria Deuda Interna BCH-SEFIN</t>
  </si>
  <si>
    <r>
      <t>Suscrito/ Desembolsado</t>
    </r>
    <r>
      <rPr>
        <vertAlign val="superscript"/>
        <sz val="16"/>
        <rFont val="Calibri"/>
        <family val="2"/>
        <scheme val="minor"/>
      </rPr>
      <t>2/</t>
    </r>
  </si>
  <si>
    <r>
      <t>Programa para la Reactivación Económica a través de la MIPYME en la Crisis y Post Crisis COVID-19 en Honduras</t>
    </r>
    <r>
      <rPr>
        <vertAlign val="superscript"/>
        <sz val="16"/>
        <rFont val="Calibri"/>
        <family val="2"/>
        <scheme val="minor"/>
      </rPr>
      <t>1/</t>
    </r>
  </si>
  <si>
    <t>Suscrito/ Desembolsado</t>
  </si>
  <si>
    <t>Apoyo Presupuestario a través de BCH- III Etapa</t>
  </si>
  <si>
    <t>II. APOYOS PRESUPUESTARIOS-PROYECTOS COVID-19</t>
  </si>
  <si>
    <t>Programa de Apoyo para la Implementación del Plan Nacional de Introducción de la Vacuna Contra la COVID-19 en Honduras</t>
  </si>
  <si>
    <t>Financiamiento Adicional al Proyecto de Respuesta a Emergencias Honduras COVID-19</t>
  </si>
  <si>
    <t>Apoyo para compra de mascarillas para atender COVID-19</t>
  </si>
  <si>
    <t>Telesalud para mitigar el Coronavirus y mejorar el acceso a la salud en Honduras</t>
  </si>
  <si>
    <t>-</t>
  </si>
  <si>
    <t>Respuesta Inmediata de Salud Pública para Contener y Controlar el Coronavirus (COVID-19) y Mitigar su Efecto en la Prestación de Servicios en Honduras (RISP-HO-2)</t>
  </si>
  <si>
    <t>JICA</t>
  </si>
  <si>
    <r>
      <t>Apoyo a Emergencias para Respuesta a la Crisis COVID-19</t>
    </r>
    <r>
      <rPr>
        <vertAlign val="superscript"/>
        <sz val="16"/>
        <rFont val="Calibri"/>
        <family val="2"/>
        <scheme val="minor"/>
      </rPr>
      <t>3/</t>
    </r>
  </si>
  <si>
    <t>4/ Financiamiento de España por USD35 mm no será formilizado con cargo al monto autorizado en los Decretos Legislativos 33-2020 y 92-2020 (años 2020-2021)</t>
  </si>
  <si>
    <t>Apoyo Presupuestario a través de BCH- IV Etapa</t>
  </si>
  <si>
    <t>corrección de fuente y organismo</t>
  </si>
  <si>
    <r>
      <t>Programa Global de Crédito para la Defensa del Tejido Productivo y del Empleo</t>
    </r>
    <r>
      <rPr>
        <vertAlign val="superscript"/>
        <sz val="16"/>
        <rFont val="Calibri"/>
        <family val="2"/>
        <scheme val="minor"/>
      </rPr>
      <t>1/</t>
    </r>
  </si>
  <si>
    <r>
      <t>Proyecto Integral de Desarrollo Rural y Productividad</t>
    </r>
    <r>
      <rPr>
        <vertAlign val="superscript"/>
        <sz val="16"/>
        <rFont val="Calibri"/>
        <family val="2"/>
        <scheme val="minor"/>
      </rPr>
      <t>/4</t>
    </r>
  </si>
  <si>
    <t>Integrando la Innovación para la Competitividad Rural en Honduras COMRURAL II</t>
  </si>
  <si>
    <t>Cifras preliminares actualizadas al 31 de diciembre del 2021 | Incluye actualización de nombre de operaciones.</t>
  </si>
  <si>
    <t>Cifras preliminares actualizadas al 31 de diciembre de 2021.</t>
  </si>
  <si>
    <t>1/ Catalogado como Apoyo Presupuestario dado que metodológicamente no cumple con las características de un Proyecto de Inversión Pública. Se desobligaron USD125 mm del financiamiento del BCIE; adicionalmente está en gestión la solicitud de desobligar USD25.1 mm del Tramo A.</t>
  </si>
  <si>
    <t>3/ Tipo de Cambio de Yenes a Dolares al 31 de diciembre de 2021</t>
  </si>
  <si>
    <t>Dotación de Equipo de Protección Personal (Bioseguridad) para el combate del COVID-19</t>
  </si>
  <si>
    <t>Proyecto Fortaleciendo la respuesta a la Epidemia de la COVID-19 en Honduras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</si>
</sst>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.0_-;\-* #,##0.0_-;_-* &quot;-&quot;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vertAlign val="superscript"/>
      <sz val="16"/>
      <name val="Calibri"/>
      <family val="2"/>
      <scheme val="minor"/>
    </font>
    <font>
      <i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87BCD7"/>
        <bgColor indexed="64"/>
      </patternFill>
    </fill>
    <fill>
      <patternFill patternType="solid">
        <fgColor rgb="FF99FFCC"/>
        <bgColor auto="1"/>
      </patternFill>
    </fill>
    <fill>
      <patternFill patternType="solid">
        <fgColor rgb="FF99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/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/>
      <diagonal/>
    </border>
    <border>
      <left/>
      <right/>
      <top/>
      <bottom style="thin">
        <color theme="8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6">
    <xf numFmtId="0" fontId="0" fillId="0" borderId="0" xfId="0"/>
    <xf numFmtId="43" fontId="0" fillId="0" borderId="0" xfId="1" applyFont="1"/>
    <xf numFmtId="43" fontId="0" fillId="0" borderId="0" xfId="0" applyNumberFormat="1"/>
    <xf numFmtId="43" fontId="0" fillId="0" borderId="3" xfId="1" applyFont="1" applyBorder="1"/>
    <xf numFmtId="43" fontId="0" fillId="0" borderId="5" xfId="1" applyFont="1" applyBorder="1" applyAlignment="1">
      <alignment wrapText="1"/>
    </xf>
    <xf numFmtId="43" fontId="0" fillId="0" borderId="5" xfId="1" applyFont="1" applyBorder="1"/>
    <xf numFmtId="43" fontId="0" fillId="0" borderId="7" xfId="1" applyFont="1" applyBorder="1"/>
    <xf numFmtId="0" fontId="0" fillId="0" borderId="0" xfId="0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7" fillId="5" borderId="9" xfId="0" applyFont="1" applyFill="1" applyBorder="1" applyAlignment="1">
      <alignment horizontal="center" vertical="center" wrapText="1"/>
    </xf>
    <xf numFmtId="43" fontId="7" fillId="5" borderId="9" xfId="1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43" fontId="8" fillId="5" borderId="9" xfId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vertical="center"/>
    </xf>
    <xf numFmtId="164" fontId="9" fillId="4" borderId="10" xfId="1" applyNumberFormat="1" applyFont="1" applyFill="1" applyBorder="1" applyAlignment="1">
      <alignment horizontal="right" vertical="center"/>
    </xf>
    <xf numFmtId="0" fontId="9" fillId="4" borderId="10" xfId="0" applyFont="1" applyFill="1" applyBorder="1" applyAlignment="1">
      <alignment horizontal="center" vertical="center"/>
    </xf>
    <xf numFmtId="43" fontId="9" fillId="4" borderId="10" xfId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vertical="center"/>
    </xf>
    <xf numFmtId="164" fontId="9" fillId="2" borderId="10" xfId="1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43" fontId="9" fillId="2" borderId="10" xfId="1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164" fontId="9" fillId="6" borderId="11" xfId="1" applyNumberFormat="1" applyFont="1" applyFill="1" applyBorder="1" applyAlignment="1">
      <alignment horizontal="left" vertical="center" wrapText="1"/>
    </xf>
    <xf numFmtId="43" fontId="9" fillId="6" borderId="11" xfId="2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vertical="center"/>
    </xf>
    <xf numFmtId="164" fontId="9" fillId="7" borderId="10" xfId="1" applyNumberFormat="1" applyFont="1" applyFill="1" applyBorder="1" applyAlignment="1">
      <alignment horizontal="right" vertical="center"/>
    </xf>
    <xf numFmtId="0" fontId="9" fillId="7" borderId="10" xfId="0" applyFont="1" applyFill="1" applyBorder="1" applyAlignment="1">
      <alignment horizontal="center" vertical="center"/>
    </xf>
    <xf numFmtId="43" fontId="9" fillId="7" borderId="10" xfId="1" applyFont="1" applyFill="1" applyBorder="1" applyAlignment="1">
      <alignment horizontal="center" vertical="center"/>
    </xf>
    <xf numFmtId="0" fontId="0" fillId="3" borderId="0" xfId="0" applyFill="1"/>
    <xf numFmtId="43" fontId="0" fillId="3" borderId="0" xfId="1" applyFont="1" applyFill="1"/>
    <xf numFmtId="0" fontId="0" fillId="3" borderId="0" xfId="0" applyFill="1" applyAlignment="1">
      <alignment horizontal="center"/>
    </xf>
    <xf numFmtId="43" fontId="2" fillId="3" borderId="0" xfId="1" applyFont="1" applyFill="1"/>
    <xf numFmtId="0" fontId="2" fillId="3" borderId="0" xfId="0" applyFont="1" applyFill="1" applyAlignment="1">
      <alignment horizontal="center"/>
    </xf>
    <xf numFmtId="166" fontId="0" fillId="0" borderId="0" xfId="0" applyNumberFormat="1"/>
    <xf numFmtId="0" fontId="11" fillId="0" borderId="10" xfId="0" applyFont="1" applyFill="1" applyBorder="1" applyAlignment="1">
      <alignment vertical="center" wrapText="1"/>
    </xf>
    <xf numFmtId="164" fontId="11" fillId="0" borderId="10" xfId="1" applyNumberFormat="1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164" fontId="11" fillId="3" borderId="10" xfId="1" applyNumberFormat="1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center" vertical="center" wrapText="1"/>
    </xf>
    <xf numFmtId="43" fontId="11" fillId="3" borderId="10" xfId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 wrapText="1"/>
    </xf>
    <xf numFmtId="43" fontId="11" fillId="3" borderId="10" xfId="1" applyFont="1" applyFill="1" applyBorder="1" applyAlignment="1">
      <alignment horizontal="center" vertical="center" wrapText="1"/>
    </xf>
    <xf numFmtId="164" fontId="11" fillId="3" borderId="10" xfId="1" applyNumberFormat="1" applyFont="1" applyFill="1" applyBorder="1" applyAlignment="1">
      <alignment horizontal="center" vertical="center" wrapText="1"/>
    </xf>
    <xf numFmtId="165" fontId="11" fillId="3" borderId="10" xfId="0" applyNumberFormat="1" applyFont="1" applyFill="1" applyBorder="1" applyAlignment="1">
      <alignment horizontal="center" vertical="center"/>
    </xf>
    <xf numFmtId="2" fontId="11" fillId="3" borderId="10" xfId="0" applyNumberFormat="1" applyFont="1" applyFill="1" applyBorder="1" applyAlignment="1">
      <alignment horizontal="center" vertical="center" wrapText="1"/>
    </xf>
    <xf numFmtId="0" fontId="10" fillId="3" borderId="0" xfId="0" applyFont="1" applyFill="1"/>
    <xf numFmtId="0" fontId="0" fillId="0" borderId="13" xfId="0" applyBorder="1" applyAlignment="1">
      <alignment horizontal="center" vertical="center" wrapText="1"/>
    </xf>
    <xf numFmtId="164" fontId="0" fillId="0" borderId="4" xfId="1" applyNumberFormat="1" applyFont="1" applyBorder="1" applyAlignment="1">
      <alignment vertical="center"/>
    </xf>
    <xf numFmtId="164" fontId="0" fillId="0" borderId="6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vertical="center"/>
    </xf>
    <xf numFmtId="0" fontId="16" fillId="4" borderId="10" xfId="0" applyFont="1" applyFill="1" applyBorder="1" applyAlignment="1">
      <alignment vertical="center"/>
    </xf>
    <xf numFmtId="164" fontId="16" fillId="4" borderId="10" xfId="1" applyNumberFormat="1" applyFont="1" applyFill="1" applyBorder="1" applyAlignment="1">
      <alignment horizontal="right" vertical="center"/>
    </xf>
    <xf numFmtId="0" fontId="16" fillId="4" borderId="10" xfId="0" applyFont="1" applyFill="1" applyBorder="1" applyAlignment="1">
      <alignment horizontal="center" vertical="center"/>
    </xf>
    <xf numFmtId="43" fontId="16" fillId="4" borderId="10" xfId="1" applyFont="1" applyFill="1" applyBorder="1" applyAlignment="1">
      <alignment horizontal="center" vertical="center"/>
    </xf>
    <xf numFmtId="0" fontId="16" fillId="7" borderId="10" xfId="0" applyFont="1" applyFill="1" applyBorder="1" applyAlignment="1">
      <alignment vertical="center"/>
    </xf>
    <xf numFmtId="164" fontId="16" fillId="7" borderId="10" xfId="1" applyNumberFormat="1" applyFont="1" applyFill="1" applyBorder="1" applyAlignment="1">
      <alignment horizontal="right" vertical="center"/>
    </xf>
    <xf numFmtId="0" fontId="16" fillId="7" borderId="10" xfId="0" applyFont="1" applyFill="1" applyBorder="1" applyAlignment="1">
      <alignment horizontal="center" vertical="center"/>
    </xf>
    <xf numFmtId="43" fontId="16" fillId="7" borderId="10" xfId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center"/>
    </xf>
    <xf numFmtId="164" fontId="16" fillId="2" borderId="10" xfId="1" applyNumberFormat="1" applyFont="1" applyFill="1" applyBorder="1" applyAlignment="1">
      <alignment horizontal="right" vertical="center"/>
    </xf>
    <xf numFmtId="0" fontId="16" fillId="2" borderId="10" xfId="0" applyFont="1" applyFill="1" applyBorder="1" applyAlignment="1">
      <alignment horizontal="center" vertical="center"/>
    </xf>
    <xf numFmtId="43" fontId="16" fillId="2" borderId="10" xfId="1" applyFont="1" applyFill="1" applyBorder="1" applyAlignment="1">
      <alignment horizontal="center" vertical="center"/>
    </xf>
    <xf numFmtId="43" fontId="13" fillId="3" borderId="0" xfId="1" applyFont="1" applyFill="1"/>
    <xf numFmtId="0" fontId="13" fillId="3" borderId="0" xfId="0" applyFont="1" applyFill="1"/>
    <xf numFmtId="165" fontId="11" fillId="3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6" fillId="7" borderId="10" xfId="0" applyFont="1" applyFill="1" applyBorder="1" applyAlignment="1">
      <alignment vertical="center" wrapText="1"/>
    </xf>
    <xf numFmtId="0" fontId="16" fillId="8" borderId="10" xfId="0" applyFont="1" applyFill="1" applyBorder="1" applyAlignment="1">
      <alignment horizontal="center" vertical="center"/>
    </xf>
    <xf numFmtId="165" fontId="11" fillId="8" borderId="10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15" fillId="5" borderId="14" xfId="1" applyNumberFormat="1" applyFont="1" applyFill="1" applyBorder="1" applyAlignment="1">
      <alignment horizontal="center" vertical="center" wrapText="1"/>
    </xf>
    <xf numFmtId="164" fontId="0" fillId="3" borderId="10" xfId="1" applyNumberFormat="1" applyFont="1" applyFill="1" applyBorder="1" applyAlignment="1">
      <alignment horizontal="center" vertical="center"/>
    </xf>
    <xf numFmtId="0" fontId="18" fillId="3" borderId="0" xfId="0" applyFont="1" applyFill="1"/>
    <xf numFmtId="165" fontId="11" fillId="3" borderId="1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3" fontId="19" fillId="0" borderId="0" xfId="1" applyFont="1"/>
    <xf numFmtId="0" fontId="11" fillId="3" borderId="10" xfId="0" applyFont="1" applyFill="1" applyBorder="1" applyAlignment="1">
      <alignment horizontal="center" vertical="center" wrapText="1"/>
    </xf>
    <xf numFmtId="0" fontId="4" fillId="0" borderId="0" xfId="0" applyFont="1" applyFill="1"/>
    <xf numFmtId="164" fontId="11" fillId="3" borderId="10" xfId="1" applyNumberFormat="1" applyFont="1" applyFill="1" applyBorder="1" applyAlignment="1">
      <alignment vertical="center"/>
    </xf>
    <xf numFmtId="165" fontId="11" fillId="3" borderId="13" xfId="0" applyNumberFormat="1" applyFont="1" applyFill="1" applyBorder="1" applyAlignment="1">
      <alignment horizontal="center" vertical="center"/>
    </xf>
    <xf numFmtId="165" fontId="11" fillId="3" borderId="0" xfId="0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43" fontId="20" fillId="0" borderId="0" xfId="1" applyFont="1"/>
    <xf numFmtId="0" fontId="0" fillId="3" borderId="13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65" fontId="11" fillId="3" borderId="13" xfId="0" applyNumberFormat="1" applyFont="1" applyFill="1" applyBorder="1" applyAlignment="1">
      <alignment horizontal="center" vertical="center" wrapText="1"/>
    </xf>
    <xf numFmtId="164" fontId="0" fillId="3" borderId="13" xfId="1" applyNumberFormat="1" applyFont="1" applyFill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64" fontId="6" fillId="6" borderId="11" xfId="1" applyNumberFormat="1" applyFont="1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 wrapText="1"/>
    </xf>
    <xf numFmtId="43" fontId="0" fillId="0" borderId="2" xfId="1" applyFont="1" applyBorder="1" applyAlignment="1">
      <alignment horizontal="center" wrapText="1"/>
    </xf>
    <xf numFmtId="165" fontId="11" fillId="3" borderId="0" xfId="0" applyNumberFormat="1" applyFont="1" applyFill="1" applyBorder="1" applyAlignment="1">
      <alignment horizontal="center" vertical="center" wrapText="1"/>
    </xf>
    <xf numFmtId="165" fontId="11" fillId="3" borderId="14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 wrapText="1"/>
    </xf>
    <xf numFmtId="43" fontId="15" fillId="5" borderId="16" xfId="1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/>
    </xf>
    <xf numFmtId="0" fontId="13" fillId="3" borderId="0" xfId="0" applyFont="1" applyFill="1" applyAlignment="1">
      <alignment horizontal="center" wrapText="1"/>
    </xf>
    <xf numFmtId="165" fontId="11" fillId="3" borderId="13" xfId="0" applyNumberFormat="1" applyFont="1" applyFill="1" applyBorder="1" applyAlignment="1">
      <alignment horizontal="center" vertical="center"/>
    </xf>
    <xf numFmtId="165" fontId="11" fillId="3" borderId="14" xfId="0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left" vertical="center" wrapText="1"/>
    </xf>
    <xf numFmtId="165" fontId="11" fillId="3" borderId="0" xfId="0" applyNumberFormat="1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43" fontId="15" fillId="5" borderId="0" xfId="1" applyFont="1" applyFill="1" applyBorder="1" applyAlignment="1">
      <alignment horizontal="center" vertical="center" wrapText="1"/>
    </xf>
    <xf numFmtId="43" fontId="15" fillId="5" borderId="14" xfId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2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/>
    </xf>
    <xf numFmtId="43" fontId="11" fillId="0" borderId="10" xfId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</cellXfs>
  <cellStyles count="9">
    <cellStyle name="Millares" xfId="1" builtinId="3"/>
    <cellStyle name="Millares 19" xfId="2" xr:uid="{00000000-0005-0000-0000-000001000000}"/>
    <cellStyle name="Millares 19 2" xfId="4" xr:uid="{00000000-0005-0000-0000-000002000000}"/>
    <cellStyle name="Millares 19 2 2" xfId="8" xr:uid="{00000000-0005-0000-0000-000003000000}"/>
    <cellStyle name="Millares 19 3" xfId="6" xr:uid="{00000000-0005-0000-0000-000004000000}"/>
    <cellStyle name="Millares 2" xfId="3" xr:uid="{00000000-0005-0000-0000-000005000000}"/>
    <cellStyle name="Millares 2 2" xfId="7" xr:uid="{00000000-0005-0000-0000-000006000000}"/>
    <cellStyle name="Millares 3" xfId="5" xr:uid="{00000000-0005-0000-0000-000007000000}"/>
    <cellStyle name="Normal" xfId="0" builtinId="0"/>
  </cellStyles>
  <dxfs count="0"/>
  <tableStyles count="0" defaultTableStyle="TableStyleMedium2" defaultPivotStyle="PivotStyleLight16"/>
  <colors>
    <mruColors>
      <color rgb="FF99FFCC"/>
      <color rgb="FF33CCCC"/>
      <color rgb="FF87BCD7"/>
      <color rgb="FFA7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3939752890677E-2"/>
          <c:y val="0.12607453649332898"/>
          <c:w val="0.89225228921731325"/>
          <c:h val="0.701362483394620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18E-4D5F-B85B-803F1670329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18E-4D5F-B85B-803F1670329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18E-4D5F-B85B-803F16703292}"/>
              </c:ext>
            </c:extLst>
          </c:dPt>
          <c:dLbls>
            <c:dLbl>
              <c:idx val="0"/>
              <c:layout>
                <c:manualLayout>
                  <c:x val="-3.1545713267980844E-3"/>
                  <c:y val="-2.56751650911613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8E-4D5F-B85B-803F16703292}"/>
                </c:ext>
              </c:extLst>
            </c:dLbl>
            <c:dLbl>
              <c:idx val="1"/>
              <c:layout>
                <c:manualLayout>
                  <c:x val="-1.3077402879347268E-3"/>
                  <c:y val="-1.7849278508307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E-4D5F-B85B-803F16703292}"/>
                </c:ext>
              </c:extLst>
            </c:dLbl>
            <c:dLbl>
              <c:idx val="2"/>
              <c:layout>
                <c:manualLayout>
                  <c:x val="2.7951034696726287E-3"/>
                  <c:y val="-6.67313634700910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8E-4D5F-B85B-803F16703292}"/>
                </c:ext>
              </c:extLst>
            </c:dLbl>
            <c:dLbl>
              <c:idx val="3"/>
              <c:layout>
                <c:manualLayout>
                  <c:x val="-5.8530261190086158E-4"/>
                  <c:y val="8.038266975991990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9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HN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323821986773647E-2"/>
                      <c:h val="9.43702951425656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E18E-4D5F-B85B-803F167032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Grafico.Web!$B$3:$B$6</c:f>
              <c:strCache>
                <c:ptCount val="4"/>
                <c:pt idx="0">
                  <c:v> Aprobado Mediante Decretos Legislativos No.33-2020 y No.92-2020 </c:v>
                </c:pt>
                <c:pt idx="1">
                  <c:v> Operaciones Gestionadas (incluye reorientacion de recursos externos)   </c:v>
                </c:pt>
                <c:pt idx="2">
                  <c:v> Operaciones Suscritas </c:v>
                </c:pt>
                <c:pt idx="3">
                  <c:v> Desembolsos Recibidos  </c:v>
                </c:pt>
              </c:strCache>
            </c:strRef>
          </c:cat>
          <c:val>
            <c:numRef>
              <c:f>Grafico.Web!$C$3:$C$6</c:f>
              <c:numCache>
                <c:formatCode>_-* #,##0.0_-;\-* #,##0.0_-;_-* "-"??_-;_-@_-</c:formatCode>
                <c:ptCount val="4"/>
                <c:pt idx="0">
                  <c:v>2500</c:v>
                </c:pt>
                <c:pt idx="1">
                  <c:v>2382.7885282046432</c:v>
                </c:pt>
                <c:pt idx="2">
                  <c:v>2382.7885282046432</c:v>
                </c:pt>
                <c:pt idx="3">
                  <c:v>1896.8080007000804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8E-4D5F-B85B-803F16703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1767912"/>
        <c:axId val="931769088"/>
      </c:barChart>
      <c:catAx>
        <c:axId val="931767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931769088"/>
        <c:crosses val="autoZero"/>
        <c:auto val="1"/>
        <c:lblAlgn val="ctr"/>
        <c:lblOffset val="100"/>
        <c:noMultiLvlLbl val="0"/>
      </c:catAx>
      <c:valAx>
        <c:axId val="931769088"/>
        <c:scaling>
          <c:orientation val="minMax"/>
        </c:scaling>
        <c:delete val="0"/>
        <c:axPos val="l"/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931767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197642</xdr:colOff>
      <xdr:row>8</xdr:row>
      <xdr:rowOff>66676</xdr:rowOff>
    </xdr:from>
    <xdr:to>
      <xdr:col>6</xdr:col>
      <xdr:colOff>666750</xdr:colOff>
      <xdr:row>25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784460</xdr:colOff>
      <xdr:row>8</xdr:row>
      <xdr:rowOff>30809</xdr:rowOff>
    </xdr:from>
    <xdr:ext cx="6365169" cy="46807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501775" y="1571272"/>
          <a:ext cx="6365169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HN" sz="1200" b="1"/>
            <a:t>Movilización</a:t>
          </a:r>
          <a:r>
            <a:rPr lang="es-HN" sz="1200" b="1" baseline="0"/>
            <a:t> de Recursos para Atender los Efectos Derivados del COVID-19 </a:t>
          </a:r>
          <a:endParaRPr lang="es-HN" sz="1200" b="0"/>
        </a:p>
        <a:p>
          <a:pPr algn="ctr"/>
          <a:r>
            <a:rPr lang="es-HN" sz="1200" b="0"/>
            <a:t>Cifras en Millones de US Dólares</a:t>
          </a:r>
        </a:p>
      </xdr:txBody>
    </xdr:sp>
    <xdr:clientData/>
  </xdr:oneCellAnchor>
  <xdr:oneCellAnchor>
    <xdr:from>
      <xdr:col>1</xdr:col>
      <xdr:colOff>2057870</xdr:colOff>
      <xdr:row>9</xdr:row>
      <xdr:rowOff>176059</xdr:rowOff>
    </xdr:from>
    <xdr:ext cx="3762375" cy="25673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2775185" y="1904670"/>
          <a:ext cx="3762375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HN" sz="1050" b="0" i="1"/>
            <a:t>Cifras preliminares</a:t>
          </a:r>
          <a:r>
            <a:rPr lang="es-HN" sz="1050" b="0" i="1" baseline="0"/>
            <a:t> actualizadas </a:t>
          </a:r>
          <a:r>
            <a:rPr lang="es-HN" sz="1050" b="0" i="1"/>
            <a:t>al 31</a:t>
          </a:r>
          <a:r>
            <a:rPr lang="es-HN" sz="1050" b="0" i="1" baseline="0"/>
            <a:t> de diciembre </a:t>
          </a:r>
          <a:r>
            <a:rPr lang="es-HN" sz="1050" b="0" i="1"/>
            <a:t>del 2021</a:t>
          </a:r>
          <a:endParaRPr lang="es-HN" sz="1050" b="0" i="1" baseline="300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J8"/>
  <sheetViews>
    <sheetView tabSelected="1" topLeftCell="B1" zoomScale="81" workbookViewId="0">
      <selection activeCell="M27" sqref="M27"/>
    </sheetView>
  </sheetViews>
  <sheetFormatPr baseColWidth="10" defaultColWidth="10.6640625" defaultRowHeight="14.4" x14ac:dyDescent="0.3"/>
  <cols>
    <col min="2" max="2" width="67.5546875" style="1" bestFit="1" customWidth="1"/>
    <col min="6" max="6" width="13.5546875" customWidth="1"/>
    <col min="9" max="9" width="19.6640625" customWidth="1"/>
  </cols>
  <sheetData>
    <row r="1" spans="2:10" ht="15" thickBot="1" x14ac:dyDescent="0.35"/>
    <row r="2" spans="2:10" ht="15" thickBot="1" x14ac:dyDescent="0.35">
      <c r="B2" s="97" t="s">
        <v>16</v>
      </c>
      <c r="C2" s="98"/>
    </row>
    <row r="3" spans="2:10" x14ac:dyDescent="0.3">
      <c r="B3" s="3" t="s">
        <v>66</v>
      </c>
      <c r="C3" s="54">
        <v>2500</v>
      </c>
      <c r="D3" s="2"/>
    </row>
    <row r="4" spans="2:10" x14ac:dyDescent="0.3">
      <c r="B4" s="4" t="s">
        <v>50</v>
      </c>
      <c r="C4" s="55">
        <f>+Préstamos!C35</f>
        <v>2382.7885282046432</v>
      </c>
    </row>
    <row r="5" spans="2:10" x14ac:dyDescent="0.3">
      <c r="B5" s="5" t="s">
        <v>17</v>
      </c>
      <c r="C5" s="55">
        <f>+Préstamos!F35</f>
        <v>2382.7885282046432</v>
      </c>
      <c r="I5" s="8"/>
      <c r="J5" s="8"/>
    </row>
    <row r="6" spans="2:10" ht="15" thickBot="1" x14ac:dyDescent="0.35">
      <c r="B6" s="6" t="s">
        <v>18</v>
      </c>
      <c r="C6" s="56">
        <f>+Préstamos!I35</f>
        <v>1896.8080007000804</v>
      </c>
      <c r="G6" s="2"/>
      <c r="I6" s="8"/>
      <c r="J6" s="8"/>
    </row>
    <row r="7" spans="2:10" x14ac:dyDescent="0.3">
      <c r="I7" s="8"/>
      <c r="J7" s="8"/>
    </row>
    <row r="8" spans="2:10" x14ac:dyDescent="0.3">
      <c r="I8" s="8"/>
      <c r="J8" s="8"/>
    </row>
  </sheetData>
  <mergeCells count="1">
    <mergeCell ref="B2:C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P51"/>
  <sheetViews>
    <sheetView showGridLines="0" zoomScale="30" zoomScaleNormal="30" workbookViewId="0">
      <selection activeCell="U22" sqref="U22"/>
    </sheetView>
  </sheetViews>
  <sheetFormatPr baseColWidth="10" defaultColWidth="11.44140625" defaultRowHeight="14.4" x14ac:dyDescent="0.3"/>
  <cols>
    <col min="1" max="1" width="15.5546875" style="8" customWidth="1"/>
    <col min="2" max="2" width="140.33203125" style="8" customWidth="1"/>
    <col min="3" max="3" width="19.33203125" style="1" bestFit="1" customWidth="1"/>
    <col min="4" max="4" width="21.6640625" style="8" bestFit="1" customWidth="1"/>
    <col min="5" max="5" width="25.6640625" style="8" customWidth="1"/>
    <col min="6" max="6" width="19.5546875" style="8" bestFit="1" customWidth="1"/>
    <col min="7" max="7" width="19.109375" style="8" bestFit="1" customWidth="1"/>
    <col min="8" max="8" width="17.33203125" style="8" customWidth="1"/>
    <col min="9" max="9" width="19.109375" style="8" bestFit="1" customWidth="1"/>
    <col min="10" max="10" width="17.109375" style="8" bestFit="1" customWidth="1"/>
    <col min="11" max="11" width="15.88671875" style="8" hidden="1" customWidth="1"/>
    <col min="12" max="12" width="16.5546875" style="8" hidden="1" customWidth="1"/>
    <col min="13" max="14" width="0" style="8" hidden="1" customWidth="1"/>
    <col min="15" max="16384" width="11.44140625" style="8"/>
  </cols>
  <sheetData>
    <row r="1" spans="1:12" ht="21" customHeight="1" x14ac:dyDescent="0.4">
      <c r="B1" s="104" t="s">
        <v>62</v>
      </c>
      <c r="C1" s="104"/>
      <c r="D1" s="104"/>
      <c r="E1" s="104"/>
      <c r="F1" s="104"/>
      <c r="G1" s="104"/>
      <c r="H1" s="104"/>
      <c r="I1" s="104"/>
    </row>
    <row r="2" spans="1:12" ht="21.6" thickBot="1" x14ac:dyDescent="0.45">
      <c r="B2" s="103" t="s">
        <v>19</v>
      </c>
      <c r="C2" s="103"/>
      <c r="D2" s="103"/>
      <c r="E2" s="103"/>
      <c r="F2" s="103"/>
      <c r="G2" s="103"/>
      <c r="H2" s="103"/>
      <c r="I2" s="103"/>
    </row>
    <row r="3" spans="1:12" ht="21" x14ac:dyDescent="0.3">
      <c r="A3" s="72"/>
      <c r="B3" s="110" t="s">
        <v>9</v>
      </c>
      <c r="C3" s="112" t="s">
        <v>10</v>
      </c>
      <c r="D3" s="110" t="s">
        <v>6</v>
      </c>
      <c r="E3" s="112" t="s">
        <v>13</v>
      </c>
      <c r="F3" s="112" t="s">
        <v>15</v>
      </c>
      <c r="G3" s="102" t="s">
        <v>33</v>
      </c>
      <c r="H3" s="102"/>
      <c r="I3" s="102"/>
    </row>
    <row r="4" spans="1:12" ht="21" x14ac:dyDescent="0.3">
      <c r="A4" s="72"/>
      <c r="B4" s="111"/>
      <c r="C4" s="113"/>
      <c r="D4" s="111"/>
      <c r="E4" s="113"/>
      <c r="F4" s="113"/>
      <c r="G4" s="78">
        <v>2020</v>
      </c>
      <c r="H4" s="78">
        <v>2021</v>
      </c>
      <c r="I4" s="78" t="s">
        <v>51</v>
      </c>
    </row>
    <row r="5" spans="1:12" ht="21" x14ac:dyDescent="0.3">
      <c r="B5" s="57" t="s">
        <v>67</v>
      </c>
      <c r="C5" s="58">
        <v>2500</v>
      </c>
      <c r="D5" s="59"/>
      <c r="E5" s="60"/>
      <c r="F5" s="58"/>
      <c r="G5" s="58"/>
      <c r="H5" s="58"/>
      <c r="I5" s="58"/>
    </row>
    <row r="6" spans="1:12" ht="21" x14ac:dyDescent="0.3">
      <c r="B6" s="61" t="s">
        <v>27</v>
      </c>
      <c r="C6" s="62">
        <f>SUM(C7:C10)</f>
        <v>121.45735000000001</v>
      </c>
      <c r="D6" s="75"/>
      <c r="E6" s="76"/>
      <c r="F6" s="62">
        <f>SUM(F7:F10)</f>
        <v>121.45735000000001</v>
      </c>
      <c r="G6" s="62">
        <f>SUM(G7:G10)</f>
        <v>48.669350000000001</v>
      </c>
      <c r="H6" s="62">
        <f>SUM(H7:H10)</f>
        <v>45.988</v>
      </c>
      <c r="I6" s="62">
        <f>SUM(G6:H6)</f>
        <v>94.657350000000008</v>
      </c>
    </row>
    <row r="7" spans="1:12" ht="36" customHeight="1" x14ac:dyDescent="0.3">
      <c r="B7" s="47" t="s">
        <v>22</v>
      </c>
      <c r="C7" s="43">
        <f>+F7</f>
        <v>2.7211240000000001</v>
      </c>
      <c r="D7" s="89" t="s">
        <v>1</v>
      </c>
      <c r="E7" s="93" t="s">
        <v>75</v>
      </c>
      <c r="F7" s="43">
        <f>+G7+H7</f>
        <v>2.7211240000000001</v>
      </c>
      <c r="G7" s="43">
        <v>0.53312400000000004</v>
      </c>
      <c r="H7" s="43">
        <v>2.1880000000000002</v>
      </c>
      <c r="I7" s="43">
        <f>SUM(G7:H7)</f>
        <v>2.7211240000000001</v>
      </c>
    </row>
    <row r="8" spans="1:12" ht="21" x14ac:dyDescent="0.3">
      <c r="B8" s="47" t="s">
        <v>0</v>
      </c>
      <c r="C8" s="43">
        <f t="shared" ref="C8:C10" si="0">+F8</f>
        <v>50.034326000000007</v>
      </c>
      <c r="D8" s="114" t="s">
        <v>2</v>
      </c>
      <c r="E8" s="99" t="s">
        <v>75</v>
      </c>
      <c r="F8" s="43">
        <f>+G8+H8</f>
        <v>50.034326000000007</v>
      </c>
      <c r="G8" s="43">
        <f>(17663476+8600000+6970850)/1000000</f>
        <v>33.234326000000003</v>
      </c>
      <c r="H8" s="43">
        <v>16.8</v>
      </c>
      <c r="I8" s="43">
        <f t="shared" ref="I8:I32" si="1">SUM(G8:H8)</f>
        <v>50.034326000000007</v>
      </c>
    </row>
    <row r="9" spans="1:12" ht="42" x14ac:dyDescent="0.3">
      <c r="B9" s="47" t="s">
        <v>83</v>
      </c>
      <c r="C9" s="43">
        <v>53.8</v>
      </c>
      <c r="D9" s="116"/>
      <c r="E9" s="100"/>
      <c r="F9" s="86">
        <f>+C9</f>
        <v>53.8</v>
      </c>
      <c r="G9" s="86">
        <v>0</v>
      </c>
      <c r="H9" s="86">
        <v>27</v>
      </c>
      <c r="I9" s="43">
        <f t="shared" si="1"/>
        <v>27</v>
      </c>
    </row>
    <row r="10" spans="1:12" ht="42" x14ac:dyDescent="0.3">
      <c r="B10" s="47" t="s">
        <v>7</v>
      </c>
      <c r="C10" s="43">
        <f t="shared" si="0"/>
        <v>14.901899999999999</v>
      </c>
      <c r="D10" s="89" t="s">
        <v>3</v>
      </c>
      <c r="E10" s="81" t="s">
        <v>75</v>
      </c>
      <c r="F10" s="43">
        <f>+G10+H10</f>
        <v>14.901899999999999</v>
      </c>
      <c r="G10" s="43">
        <v>14.901899999999999</v>
      </c>
      <c r="H10" s="43">
        <f>14.9019-G10</f>
        <v>0</v>
      </c>
      <c r="I10" s="43">
        <f t="shared" si="1"/>
        <v>14.901899999999999</v>
      </c>
    </row>
    <row r="11" spans="1:12" ht="21" x14ac:dyDescent="0.3">
      <c r="B11" s="61" t="s">
        <v>77</v>
      </c>
      <c r="C11" s="62">
        <f>SUM(C12:C16)</f>
        <v>337.28226125000003</v>
      </c>
      <c r="D11" s="63"/>
      <c r="E11" s="64"/>
      <c r="F11" s="62">
        <f>SUM(F12:F16)</f>
        <v>337.28226125000003</v>
      </c>
      <c r="G11" s="62">
        <f>SUM(G12:G16)</f>
        <v>269.00323889999999</v>
      </c>
      <c r="H11" s="62">
        <f>SUM(H12:H16)</f>
        <v>38.802173119999999</v>
      </c>
      <c r="I11" s="62">
        <f>SUM(G11:H11)</f>
        <v>307.80541202000001</v>
      </c>
    </row>
    <row r="12" spans="1:12" ht="42" x14ac:dyDescent="0.3">
      <c r="B12" s="42" t="s">
        <v>23</v>
      </c>
      <c r="C12" s="43">
        <v>119</v>
      </c>
      <c r="D12" s="114" t="s">
        <v>1</v>
      </c>
      <c r="E12" s="48" t="s">
        <v>36</v>
      </c>
      <c r="F12" s="43">
        <f>+C12</f>
        <v>119</v>
      </c>
      <c r="G12" s="43">
        <v>119</v>
      </c>
      <c r="H12" s="43">
        <v>0</v>
      </c>
      <c r="I12" s="43">
        <f t="shared" si="1"/>
        <v>119</v>
      </c>
    </row>
    <row r="13" spans="1:12" ht="42" x14ac:dyDescent="0.3">
      <c r="B13" s="46" t="s">
        <v>24</v>
      </c>
      <c r="C13" s="43">
        <v>20</v>
      </c>
      <c r="D13" s="115"/>
      <c r="E13" s="71" t="s">
        <v>36</v>
      </c>
      <c r="F13" s="43">
        <f>+C13</f>
        <v>20</v>
      </c>
      <c r="G13" s="43">
        <v>7.0032389000000004</v>
      </c>
      <c r="H13" s="43">
        <v>8.1999999999999993</v>
      </c>
      <c r="I13" s="43">
        <f t="shared" si="1"/>
        <v>15.203238899999999</v>
      </c>
      <c r="J13" s="1"/>
      <c r="K13" s="1"/>
      <c r="L13" s="2"/>
    </row>
    <row r="14" spans="1:12" ht="21" x14ac:dyDescent="0.3">
      <c r="B14" s="46" t="s">
        <v>79</v>
      </c>
      <c r="C14" s="43">
        <v>20</v>
      </c>
      <c r="D14" s="116"/>
      <c r="E14" s="48" t="s">
        <v>15</v>
      </c>
      <c r="F14" s="43">
        <f>+C14</f>
        <v>20</v>
      </c>
      <c r="G14" s="43">
        <v>0</v>
      </c>
      <c r="H14" s="43">
        <v>0</v>
      </c>
      <c r="I14" s="43">
        <f t="shared" si="1"/>
        <v>0</v>
      </c>
      <c r="J14" s="1"/>
      <c r="K14" s="1"/>
      <c r="L14" s="2"/>
    </row>
    <row r="15" spans="1:12" ht="42" x14ac:dyDescent="0.3">
      <c r="B15" s="47" t="s">
        <v>78</v>
      </c>
      <c r="C15" s="43">
        <v>35</v>
      </c>
      <c r="D15" s="84" t="s">
        <v>3</v>
      </c>
      <c r="E15" s="48" t="s">
        <v>36</v>
      </c>
      <c r="F15" s="43">
        <f>+C15</f>
        <v>35</v>
      </c>
      <c r="G15" s="43">
        <v>0</v>
      </c>
      <c r="H15" s="43">
        <v>30.60217312</v>
      </c>
      <c r="I15" s="43">
        <f t="shared" ref="I15" si="2">SUM(G15:H15)</f>
        <v>30.60217312</v>
      </c>
      <c r="J15" s="1"/>
      <c r="K15" s="1"/>
      <c r="L15" s="2"/>
    </row>
    <row r="16" spans="1:12" ht="42" x14ac:dyDescent="0.3">
      <c r="B16" s="47" t="s">
        <v>20</v>
      </c>
      <c r="C16" s="43">
        <v>143.28226125</v>
      </c>
      <c r="D16" s="84" t="s">
        <v>4</v>
      </c>
      <c r="E16" s="48" t="s">
        <v>36</v>
      </c>
      <c r="F16" s="43">
        <f>+C16</f>
        <v>143.28226125</v>
      </c>
      <c r="G16" s="43">
        <v>143</v>
      </c>
      <c r="H16" s="43">
        <v>0</v>
      </c>
      <c r="I16" s="43">
        <f t="shared" si="1"/>
        <v>143</v>
      </c>
      <c r="K16" s="2"/>
    </row>
    <row r="17" spans="1:16" ht="21" x14ac:dyDescent="0.3">
      <c r="B17" s="74" t="s">
        <v>56</v>
      </c>
      <c r="C17" s="62">
        <f>+C18+C22+C19+C23+C24+C20+C21</f>
        <v>439.96</v>
      </c>
      <c r="D17" s="63"/>
      <c r="E17" s="64"/>
      <c r="F17" s="62">
        <f>+F18+F22+F19+F23+F24+F20+F21</f>
        <v>439.96</v>
      </c>
      <c r="G17" s="62">
        <f>+G18+G22+G19+G23+G24+G20+G21</f>
        <v>92.578922999999989</v>
      </c>
      <c r="H17" s="62">
        <f>+H18+H22+H19+H23+H24+H20+H21</f>
        <v>17.630300000000002</v>
      </c>
      <c r="I17" s="62">
        <f>+I18+I22+I19+I23+I24+I20+I21</f>
        <v>110.20922299999998</v>
      </c>
    </row>
    <row r="18" spans="1:16" ht="42" x14ac:dyDescent="0.3">
      <c r="B18" s="42" t="s">
        <v>91</v>
      </c>
      <c r="C18" s="49">
        <v>75</v>
      </c>
      <c r="D18" s="105" t="s">
        <v>1</v>
      </c>
      <c r="E18" s="48" t="s">
        <v>36</v>
      </c>
      <c r="F18" s="49">
        <f>+C18</f>
        <v>75</v>
      </c>
      <c r="G18" s="49">
        <v>2.5</v>
      </c>
      <c r="H18" s="43">
        <v>11.5</v>
      </c>
      <c r="I18" s="43">
        <f t="shared" si="1"/>
        <v>14</v>
      </c>
    </row>
    <row r="19" spans="1:16" ht="42" x14ac:dyDescent="0.3">
      <c r="B19" s="42" t="s">
        <v>54</v>
      </c>
      <c r="C19" s="49">
        <v>70</v>
      </c>
      <c r="D19" s="109"/>
      <c r="E19" s="48" t="s">
        <v>36</v>
      </c>
      <c r="F19" s="49">
        <f>+C19</f>
        <v>70</v>
      </c>
      <c r="G19" s="43">
        <v>0</v>
      </c>
      <c r="H19" s="43">
        <v>0.98245000000000005</v>
      </c>
      <c r="I19" s="43">
        <f t="shared" si="1"/>
        <v>0.98245000000000005</v>
      </c>
    </row>
    <row r="20" spans="1:16" ht="42" x14ac:dyDescent="0.3">
      <c r="B20" s="42" t="s">
        <v>53</v>
      </c>
      <c r="C20" s="49">
        <v>45</v>
      </c>
      <c r="D20" s="106"/>
      <c r="E20" s="48" t="s">
        <v>36</v>
      </c>
      <c r="F20" s="43">
        <f>+C20</f>
        <v>45</v>
      </c>
      <c r="G20" s="43">
        <v>0</v>
      </c>
      <c r="H20" s="43">
        <v>0.11924999999999999</v>
      </c>
      <c r="I20" s="43">
        <f t="shared" si="1"/>
        <v>0.11924999999999999</v>
      </c>
    </row>
    <row r="21" spans="1:16" ht="42" x14ac:dyDescent="0.3">
      <c r="B21" s="42" t="s">
        <v>89</v>
      </c>
      <c r="C21" s="49">
        <v>19.96</v>
      </c>
      <c r="D21" s="105" t="s">
        <v>2</v>
      </c>
      <c r="E21" s="48" t="s">
        <v>36</v>
      </c>
      <c r="F21" s="49">
        <f>+C21</f>
        <v>19.96</v>
      </c>
      <c r="G21" s="49">
        <v>15</v>
      </c>
      <c r="H21" s="43">
        <v>0</v>
      </c>
      <c r="I21" s="43">
        <f t="shared" si="1"/>
        <v>15</v>
      </c>
    </row>
    <row r="22" spans="1:16" ht="42" x14ac:dyDescent="0.3">
      <c r="B22" s="107" t="s">
        <v>90</v>
      </c>
      <c r="C22" s="49">
        <v>55</v>
      </c>
      <c r="D22" s="106"/>
      <c r="E22" s="51" t="s">
        <v>36</v>
      </c>
      <c r="F22" s="49">
        <f>+C22</f>
        <v>55</v>
      </c>
      <c r="G22" s="49">
        <v>0.22892299999999999</v>
      </c>
      <c r="H22" s="49">
        <f>4.402+0.6266</f>
        <v>5.0286</v>
      </c>
      <c r="I22" s="43">
        <f t="shared" si="1"/>
        <v>5.2575229999999999</v>
      </c>
    </row>
    <row r="23" spans="1:16" ht="21" hidden="1" x14ac:dyDescent="0.3">
      <c r="B23" s="108"/>
      <c r="C23" s="49">
        <f>35*0</f>
        <v>0</v>
      </c>
      <c r="D23" s="50"/>
      <c r="E23" s="51"/>
      <c r="F23" s="43">
        <v>0</v>
      </c>
      <c r="G23" s="43">
        <v>0</v>
      </c>
      <c r="H23" s="43">
        <v>0</v>
      </c>
      <c r="I23" s="43">
        <f>SUM(G23:H23)</f>
        <v>0</v>
      </c>
    </row>
    <row r="24" spans="1:16" ht="44.4" x14ac:dyDescent="0.3">
      <c r="B24" s="42" t="s">
        <v>74</v>
      </c>
      <c r="C24" s="49">
        <f>300-125-25.1*0</f>
        <v>175</v>
      </c>
      <c r="D24" s="50" t="s">
        <v>3</v>
      </c>
      <c r="E24" s="51" t="s">
        <v>36</v>
      </c>
      <c r="F24" s="49">
        <f>+C24</f>
        <v>175</v>
      </c>
      <c r="G24" s="49">
        <v>74.849999999999994</v>
      </c>
      <c r="H24" s="43">
        <v>0</v>
      </c>
      <c r="I24" s="43">
        <f t="shared" si="1"/>
        <v>74.849999999999994</v>
      </c>
      <c r="J24" s="2">
        <f>+C24-F24</f>
        <v>0</v>
      </c>
    </row>
    <row r="25" spans="1:16" ht="21" x14ac:dyDescent="0.3">
      <c r="B25" s="61" t="s">
        <v>52</v>
      </c>
      <c r="C25" s="62">
        <f>SUM(C26:C34)</f>
        <v>1484.0889169546433</v>
      </c>
      <c r="D25" s="63"/>
      <c r="E25" s="64"/>
      <c r="F25" s="62">
        <f>SUM(F26:F34)</f>
        <v>1484.0889169546433</v>
      </c>
      <c r="G25" s="62">
        <f>SUM(G26:G34)</f>
        <v>1090.0576934275973</v>
      </c>
      <c r="H25" s="62">
        <f>SUM(H26:H34)</f>
        <v>294.07832225248308</v>
      </c>
      <c r="I25" s="62">
        <f>SUM(I26:I34)</f>
        <v>1384.1360156800804</v>
      </c>
    </row>
    <row r="26" spans="1:16" ht="42" x14ac:dyDescent="0.3">
      <c r="A26" s="73"/>
      <c r="B26" s="42" t="s">
        <v>39</v>
      </c>
      <c r="C26" s="49">
        <v>111.65</v>
      </c>
      <c r="D26" s="87" t="s">
        <v>2</v>
      </c>
      <c r="E26" s="51" t="s">
        <v>36</v>
      </c>
      <c r="F26" s="49">
        <v>111.65</v>
      </c>
      <c r="G26" s="49">
        <v>111.65</v>
      </c>
      <c r="H26" s="49">
        <v>0</v>
      </c>
      <c r="I26" s="43">
        <f t="shared" si="1"/>
        <v>111.65</v>
      </c>
      <c r="L26" s="1"/>
    </row>
    <row r="27" spans="1:16" ht="42" x14ac:dyDescent="0.3">
      <c r="A27" s="7"/>
      <c r="B27" s="42" t="s">
        <v>55</v>
      </c>
      <c r="C27" s="49">
        <v>50</v>
      </c>
      <c r="D27" s="105" t="s">
        <v>3</v>
      </c>
      <c r="E27" s="51" t="s">
        <v>36</v>
      </c>
      <c r="F27" s="49">
        <f t="shared" ref="F27:F33" si="3">+C27</f>
        <v>50</v>
      </c>
      <c r="G27" s="49">
        <f>+C27</f>
        <v>50</v>
      </c>
      <c r="H27" s="49">
        <v>0</v>
      </c>
      <c r="I27" s="43">
        <f t="shared" si="1"/>
        <v>50</v>
      </c>
      <c r="L27" s="82"/>
    </row>
    <row r="28" spans="1:16" ht="42" x14ac:dyDescent="0.3">
      <c r="A28" s="7"/>
      <c r="B28" s="42" t="s">
        <v>65</v>
      </c>
      <c r="C28" s="49">
        <v>250</v>
      </c>
      <c r="D28" s="106"/>
      <c r="E28" s="51" t="s">
        <v>36</v>
      </c>
      <c r="F28" s="49">
        <f t="shared" si="3"/>
        <v>250</v>
      </c>
      <c r="G28" s="49">
        <v>250</v>
      </c>
      <c r="H28" s="49">
        <v>0</v>
      </c>
      <c r="I28" s="43">
        <f t="shared" si="1"/>
        <v>250</v>
      </c>
      <c r="L28" s="1"/>
    </row>
    <row r="29" spans="1:16" ht="23.4" x14ac:dyDescent="0.3">
      <c r="A29" s="7"/>
      <c r="B29" s="42" t="s">
        <v>85</v>
      </c>
      <c r="C29" s="49">
        <v>95.789473684000001</v>
      </c>
      <c r="D29" s="88" t="s">
        <v>84</v>
      </c>
      <c r="E29" s="51" t="s">
        <v>15</v>
      </c>
      <c r="F29" s="49">
        <f>+C29</f>
        <v>95.789473684000001</v>
      </c>
      <c r="G29" s="49">
        <v>0</v>
      </c>
      <c r="H29" s="49">
        <v>0</v>
      </c>
      <c r="I29" s="43">
        <f t="shared" si="1"/>
        <v>0</v>
      </c>
    </row>
    <row r="30" spans="1:16" ht="42" x14ac:dyDescent="0.3">
      <c r="A30" s="7"/>
      <c r="B30" s="42" t="s">
        <v>61</v>
      </c>
      <c r="C30" s="49">
        <v>232.92525067</v>
      </c>
      <c r="D30" s="87" t="s">
        <v>4</v>
      </c>
      <c r="E30" s="51" t="s">
        <v>36</v>
      </c>
      <c r="F30" s="49">
        <f t="shared" si="3"/>
        <v>232.92525067</v>
      </c>
      <c r="G30" s="49">
        <f>+F30</f>
        <v>232.92525067</v>
      </c>
      <c r="H30" s="49">
        <v>0</v>
      </c>
      <c r="I30" s="43">
        <f t="shared" si="1"/>
        <v>232.92525067</v>
      </c>
      <c r="P30" s="2"/>
    </row>
    <row r="31" spans="1:16" ht="42" x14ac:dyDescent="0.3">
      <c r="A31" s="7"/>
      <c r="B31" s="42" t="s">
        <v>57</v>
      </c>
      <c r="C31" s="49">
        <f>373.499987018893+(1900/23.7295+29.02/23.7249)+(725.3/24.1011+650/24.1042)+(39.362/24.1088+5.485/24.1898)</f>
        <v>513.71203400498109</v>
      </c>
      <c r="D31" s="87" t="s">
        <v>58</v>
      </c>
      <c r="E31" s="71" t="s">
        <v>36</v>
      </c>
      <c r="F31" s="49">
        <f t="shared" si="3"/>
        <v>513.71203400498109</v>
      </c>
      <c r="G31" s="49">
        <v>369.33655942833002</v>
      </c>
      <c r="H31" s="49">
        <f>(1900/23.7295+29.02/23.7249)+(650/24.1042+725.3/24.1011)+(39.362/24.1088+5.485/24.1898)</f>
        <v>140.21204698608804</v>
      </c>
      <c r="I31" s="43">
        <f t="shared" si="1"/>
        <v>509.54860641441803</v>
      </c>
      <c r="J31" s="2"/>
    </row>
    <row r="32" spans="1:16" ht="44.4" x14ac:dyDescent="0.3">
      <c r="A32" s="7"/>
      <c r="B32" s="42" t="s">
        <v>72</v>
      </c>
      <c r="C32" s="49">
        <v>76.145883329267406</v>
      </c>
      <c r="D32" s="87" t="s">
        <v>71</v>
      </c>
      <c r="E32" s="71" t="s">
        <v>73</v>
      </c>
      <c r="F32" s="49">
        <f t="shared" si="3"/>
        <v>76.145883329267406</v>
      </c>
      <c r="G32" s="49">
        <v>76.145883329267406</v>
      </c>
      <c r="H32" s="49">
        <v>0</v>
      </c>
      <c r="I32" s="43">
        <f t="shared" si="1"/>
        <v>76.145883329267406</v>
      </c>
    </row>
    <row r="33" spans="1:12" ht="42" x14ac:dyDescent="0.3">
      <c r="A33" s="7"/>
      <c r="B33" s="42" t="s">
        <v>76</v>
      </c>
      <c r="C33" s="49">
        <v>89.841766280000002</v>
      </c>
      <c r="D33" s="87" t="s">
        <v>4</v>
      </c>
      <c r="E33" s="51" t="s">
        <v>36</v>
      </c>
      <c r="F33" s="49">
        <f t="shared" si="3"/>
        <v>89.841766280000002</v>
      </c>
      <c r="G33" s="49">
        <v>0</v>
      </c>
      <c r="H33" s="49">
        <f>+F33</f>
        <v>89.841766280000002</v>
      </c>
      <c r="I33" s="43">
        <f t="shared" ref="I33:I34" si="4">SUM(G33:H33)</f>
        <v>89.841766280000002</v>
      </c>
    </row>
    <row r="34" spans="1:12" ht="42" x14ac:dyDescent="0.3">
      <c r="A34" s="7"/>
      <c r="B34" s="42" t="s">
        <v>87</v>
      </c>
      <c r="C34" s="49">
        <f>124.424508986395-60.4</f>
        <v>64.024508986395006</v>
      </c>
      <c r="D34" s="87" t="s">
        <v>4</v>
      </c>
      <c r="E34" s="51" t="s">
        <v>36</v>
      </c>
      <c r="F34" s="49">
        <f>+C34</f>
        <v>64.024508986395006</v>
      </c>
      <c r="G34" s="49">
        <v>0</v>
      </c>
      <c r="H34" s="49">
        <f>+C34</f>
        <v>64.024508986395006</v>
      </c>
      <c r="I34" s="43">
        <f t="shared" si="4"/>
        <v>64.024508986395006</v>
      </c>
      <c r="K34" s="8">
        <f>124.4-60</f>
        <v>64.400000000000006</v>
      </c>
      <c r="L34" s="8" t="s">
        <v>88</v>
      </c>
    </row>
    <row r="35" spans="1:12" s="7" customFormat="1" ht="26.4" customHeight="1" x14ac:dyDescent="0.3">
      <c r="B35" s="65" t="s">
        <v>49</v>
      </c>
      <c r="C35" s="66">
        <f>+C17+C11+C6+C25</f>
        <v>2382.7885282046432</v>
      </c>
      <c r="D35" s="67"/>
      <c r="E35" s="68"/>
      <c r="F35" s="66">
        <f>+F17+F11+F6+F25</f>
        <v>2382.7885282046432</v>
      </c>
      <c r="G35" s="66">
        <f>+G17+G11+G6+G25</f>
        <v>1500.3092053275973</v>
      </c>
      <c r="H35" s="66">
        <f>+H17+H11+H6+H25</f>
        <v>396.49879537248307</v>
      </c>
      <c r="I35" s="66">
        <f>+I17+I11+I6+I25</f>
        <v>1896.8080007000804</v>
      </c>
    </row>
    <row r="36" spans="1:12" ht="21" x14ac:dyDescent="0.4">
      <c r="B36" s="33" t="s">
        <v>92</v>
      </c>
      <c r="C36" s="69"/>
      <c r="D36" s="70"/>
      <c r="E36" s="70"/>
    </row>
    <row r="37" spans="1:12" x14ac:dyDescent="0.3">
      <c r="B37" s="101" t="s">
        <v>94</v>
      </c>
      <c r="C37" s="101"/>
      <c r="D37" s="101"/>
      <c r="E37" s="101"/>
      <c r="F37" s="101"/>
      <c r="G37" s="101"/>
      <c r="H37" s="101"/>
      <c r="I37" s="101"/>
    </row>
    <row r="38" spans="1:12" x14ac:dyDescent="0.3">
      <c r="B38" s="33" t="s">
        <v>70</v>
      </c>
    </row>
    <row r="39" spans="1:12" x14ac:dyDescent="0.3">
      <c r="B39" s="33" t="s">
        <v>95</v>
      </c>
    </row>
    <row r="40" spans="1:12" x14ac:dyDescent="0.3">
      <c r="B40" s="85" t="s">
        <v>86</v>
      </c>
    </row>
    <row r="42" spans="1:12" hidden="1" x14ac:dyDescent="0.3"/>
    <row r="43" spans="1:12" hidden="1" x14ac:dyDescent="0.3"/>
    <row r="44" spans="1:12" hidden="1" x14ac:dyDescent="0.3">
      <c r="F44" s="2">
        <f>+C29+C9</f>
        <v>149.58947368399998</v>
      </c>
    </row>
    <row r="45" spans="1:12" ht="25.8" hidden="1" x14ac:dyDescent="0.5">
      <c r="C45" s="83">
        <f>+C35-2500</f>
        <v>-117.21147179535683</v>
      </c>
      <c r="F45" s="1">
        <f>+F35-2500</f>
        <v>-117.21147179535683</v>
      </c>
    </row>
    <row r="46" spans="1:12" hidden="1" x14ac:dyDescent="0.3">
      <c r="F46" s="2"/>
    </row>
    <row r="47" spans="1:12" hidden="1" x14ac:dyDescent="0.3">
      <c r="C47" s="1">
        <f>239+63.9</f>
        <v>302.89999999999998</v>
      </c>
    </row>
    <row r="48" spans="1:12" hidden="1" x14ac:dyDescent="0.3"/>
    <row r="49" spans="3:3" hidden="1" x14ac:dyDescent="0.3"/>
    <row r="51" spans="3:3" ht="23.4" x14ac:dyDescent="0.45">
      <c r="C51" s="90"/>
    </row>
  </sheetData>
  <mergeCells count="16">
    <mergeCell ref="E8:E9"/>
    <mergeCell ref="B37:I37"/>
    <mergeCell ref="G3:I3"/>
    <mergeCell ref="B2:I2"/>
    <mergeCell ref="B1:I1"/>
    <mergeCell ref="D27:D28"/>
    <mergeCell ref="B22:B23"/>
    <mergeCell ref="D18:D20"/>
    <mergeCell ref="D21:D22"/>
    <mergeCell ref="B3:B4"/>
    <mergeCell ref="C3:C4"/>
    <mergeCell ref="D3:D4"/>
    <mergeCell ref="E3:E4"/>
    <mergeCell ref="F3:F4"/>
    <mergeCell ref="D12:D14"/>
    <mergeCell ref="D8:D9"/>
  </mergeCells>
  <pageMargins left="0.25" right="0.25" top="0.75" bottom="0.75" header="0.3" footer="0.3"/>
  <pageSetup scale="36" fitToHeight="0" orientation="portrait" horizontalDpi="300" verticalDpi="300" r:id="rId1"/>
  <ignoredErrors>
    <ignoredError sqref="F17 I15 F9" formula="1"/>
    <ignoredError sqref="I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B1:H42"/>
  <sheetViews>
    <sheetView showGridLines="0" zoomScale="67" zoomScaleNormal="67" zoomScaleSheetLayoutView="75" workbookViewId="0">
      <pane ySplit="3" topLeftCell="A26" activePane="bottomLeft" state="frozen"/>
      <selection pane="bottomLeft" activeCell="I34" sqref="I34"/>
    </sheetView>
  </sheetViews>
  <sheetFormatPr baseColWidth="10" defaultColWidth="11.44140625" defaultRowHeight="14.4" x14ac:dyDescent="0.3"/>
  <cols>
    <col min="1" max="1" width="4.33203125" style="8" customWidth="1"/>
    <col min="2" max="2" width="90.109375" style="8" bestFit="1" customWidth="1"/>
    <col min="3" max="3" width="16.109375" style="1" bestFit="1" customWidth="1"/>
    <col min="4" max="4" width="11.109375" style="9" bestFit="1" customWidth="1"/>
    <col min="5" max="5" width="22.33203125" style="9" bestFit="1" customWidth="1"/>
    <col min="6" max="16384" width="11.44140625" style="8"/>
  </cols>
  <sheetData>
    <row r="1" spans="2:8" ht="24" hidden="1" customHeight="1" x14ac:dyDescent="0.45">
      <c r="B1" s="120" t="s">
        <v>31</v>
      </c>
      <c r="C1" s="120"/>
      <c r="D1" s="120"/>
      <c r="E1" s="120"/>
    </row>
    <row r="2" spans="2:8" ht="17.25" hidden="1" customHeight="1" x14ac:dyDescent="0.3">
      <c r="B2" s="121" t="s">
        <v>19</v>
      </c>
      <c r="C2" s="121"/>
      <c r="D2" s="121"/>
      <c r="E2" s="121"/>
    </row>
    <row r="3" spans="2:8" ht="36" hidden="1" x14ac:dyDescent="0.3">
      <c r="B3" s="16" t="s">
        <v>9</v>
      </c>
      <c r="C3" s="17" t="s">
        <v>10</v>
      </c>
      <c r="D3" s="16" t="s">
        <v>6</v>
      </c>
      <c r="E3" s="17" t="s">
        <v>13</v>
      </c>
    </row>
    <row r="4" spans="2:8" ht="26.25" hidden="1" customHeight="1" x14ac:dyDescent="0.3">
      <c r="B4" s="18" t="s">
        <v>21</v>
      </c>
      <c r="C4" s="19">
        <v>2500</v>
      </c>
      <c r="D4" s="20"/>
      <c r="E4" s="21"/>
    </row>
    <row r="5" spans="2:8" ht="33.75" hidden="1" customHeight="1" x14ac:dyDescent="0.3">
      <c r="B5" s="29" t="s">
        <v>27</v>
      </c>
      <c r="C5" s="30">
        <v>68.599999999999994</v>
      </c>
      <c r="D5" s="31"/>
      <c r="E5" s="32" t="s">
        <v>14</v>
      </c>
    </row>
    <row r="6" spans="2:8" ht="75.75" hidden="1" customHeight="1" x14ac:dyDescent="0.3">
      <c r="B6" s="39" t="s">
        <v>44</v>
      </c>
      <c r="C6" s="40">
        <v>3.7</v>
      </c>
      <c r="D6" s="41" t="s">
        <v>1</v>
      </c>
      <c r="E6" s="122" t="s">
        <v>14</v>
      </c>
      <c r="F6" s="2"/>
    </row>
    <row r="7" spans="2:8" ht="108" hidden="1" customHeight="1" x14ac:dyDescent="0.3">
      <c r="B7" s="39" t="s">
        <v>43</v>
      </c>
      <c r="C7" s="40">
        <v>50</v>
      </c>
      <c r="D7" s="41" t="s">
        <v>2</v>
      </c>
      <c r="E7" s="122"/>
    </row>
    <row r="8" spans="2:8" ht="54" hidden="1" customHeight="1" x14ac:dyDescent="0.3">
      <c r="B8" s="39" t="s">
        <v>42</v>
      </c>
      <c r="C8" s="40">
        <v>14.9</v>
      </c>
      <c r="D8" s="41" t="s">
        <v>3</v>
      </c>
      <c r="E8" s="122"/>
    </row>
    <row r="9" spans="2:8" ht="19.5" hidden="1" customHeight="1" x14ac:dyDescent="0.3">
      <c r="B9" s="29" t="s">
        <v>11</v>
      </c>
      <c r="C9" s="30">
        <f>SUM(C10:C12)</f>
        <v>282</v>
      </c>
      <c r="D9" s="31"/>
      <c r="E9" s="32"/>
    </row>
    <row r="10" spans="2:8" ht="71.25" hidden="1" customHeight="1" x14ac:dyDescent="0.3">
      <c r="B10" s="42" t="s">
        <v>23</v>
      </c>
      <c r="C10" s="43">
        <v>119</v>
      </c>
      <c r="D10" s="123" t="s">
        <v>1</v>
      </c>
      <c r="E10" s="45" t="s">
        <v>15</v>
      </c>
      <c r="H10" s="2"/>
    </row>
    <row r="11" spans="2:8" ht="63.75" hidden="1" customHeight="1" x14ac:dyDescent="0.3">
      <c r="B11" s="46" t="s">
        <v>24</v>
      </c>
      <c r="C11" s="43">
        <v>20</v>
      </c>
      <c r="D11" s="123"/>
      <c r="E11" s="48" t="s">
        <v>36</v>
      </c>
    </row>
    <row r="12" spans="2:8" ht="68.25" hidden="1" customHeight="1" x14ac:dyDescent="0.3">
      <c r="B12" s="47" t="s">
        <v>20</v>
      </c>
      <c r="C12" s="43">
        <v>143</v>
      </c>
      <c r="D12" s="44" t="s">
        <v>4</v>
      </c>
      <c r="E12" s="48" t="s">
        <v>36</v>
      </c>
      <c r="F12" s="38"/>
    </row>
    <row r="13" spans="2:8" ht="23.25" hidden="1" customHeight="1" x14ac:dyDescent="0.3">
      <c r="B13" s="29" t="s">
        <v>29</v>
      </c>
      <c r="C13" s="30">
        <f>+C14+C15+C17+C16+C18</f>
        <v>535</v>
      </c>
      <c r="D13" s="31"/>
      <c r="E13" s="32"/>
    </row>
    <row r="14" spans="2:8" ht="128.25" hidden="1" customHeight="1" x14ac:dyDescent="0.3">
      <c r="B14" s="42" t="s">
        <v>25</v>
      </c>
      <c r="C14" s="49">
        <v>75</v>
      </c>
      <c r="D14" s="50" t="s">
        <v>1</v>
      </c>
      <c r="E14" s="51" t="s">
        <v>15</v>
      </c>
      <c r="F14" s="38"/>
    </row>
    <row r="15" spans="2:8" ht="70.5" hidden="1" customHeight="1" x14ac:dyDescent="0.3">
      <c r="B15" s="107" t="s">
        <v>12</v>
      </c>
      <c r="C15" s="49">
        <v>55</v>
      </c>
      <c r="D15" s="50" t="s">
        <v>2</v>
      </c>
      <c r="E15" s="51" t="s">
        <v>15</v>
      </c>
    </row>
    <row r="16" spans="2:8" ht="46.5" hidden="1" customHeight="1" x14ac:dyDescent="0.3">
      <c r="B16" s="108"/>
      <c r="C16" s="49">
        <v>35</v>
      </c>
      <c r="D16" s="50" t="s">
        <v>37</v>
      </c>
      <c r="E16" s="51" t="s">
        <v>14</v>
      </c>
    </row>
    <row r="17" spans="2:5" ht="112.5" hidden="1" customHeight="1" x14ac:dyDescent="0.3">
      <c r="B17" s="42" t="s">
        <v>26</v>
      </c>
      <c r="C17" s="49">
        <v>70</v>
      </c>
      <c r="D17" s="50" t="s">
        <v>1</v>
      </c>
      <c r="E17" s="51" t="s">
        <v>14</v>
      </c>
    </row>
    <row r="18" spans="2:5" ht="60" hidden="1" customHeight="1" x14ac:dyDescent="0.3">
      <c r="B18" s="42" t="s">
        <v>38</v>
      </c>
      <c r="C18" s="49">
        <v>300</v>
      </c>
      <c r="D18" s="50" t="s">
        <v>3</v>
      </c>
      <c r="E18" s="51" t="s">
        <v>14</v>
      </c>
    </row>
    <row r="19" spans="2:5" ht="24.75" hidden="1" customHeight="1" x14ac:dyDescent="0.3">
      <c r="B19" s="29" t="s">
        <v>41</v>
      </c>
      <c r="C19" s="30">
        <f>+C20+C21</f>
        <v>161.65</v>
      </c>
      <c r="D19" s="31"/>
      <c r="E19" s="32"/>
    </row>
    <row r="20" spans="2:5" ht="45" hidden="1" customHeight="1" x14ac:dyDescent="0.3">
      <c r="B20" s="42" t="s">
        <v>39</v>
      </c>
      <c r="C20" s="49">
        <v>111.65</v>
      </c>
      <c r="D20" s="50" t="s">
        <v>2</v>
      </c>
      <c r="E20" s="51" t="s">
        <v>15</v>
      </c>
    </row>
    <row r="21" spans="2:5" ht="39.75" hidden="1" customHeight="1" x14ac:dyDescent="0.3">
      <c r="B21" s="42" t="s">
        <v>46</v>
      </c>
      <c r="C21" s="49">
        <v>50</v>
      </c>
      <c r="D21" s="50" t="s">
        <v>3</v>
      </c>
      <c r="E21" s="51" t="s">
        <v>14</v>
      </c>
    </row>
    <row r="22" spans="2:5" ht="21.75" hidden="1" customHeight="1" x14ac:dyDescent="0.3">
      <c r="B22" s="22" t="s">
        <v>40</v>
      </c>
      <c r="C22" s="23">
        <f>+C13+C9+C5+C19</f>
        <v>1047.25</v>
      </c>
      <c r="D22" s="24"/>
      <c r="E22" s="25"/>
    </row>
    <row r="23" spans="2:5" ht="22.5" hidden="1" customHeight="1" x14ac:dyDescent="0.3">
      <c r="B23" s="26" t="s">
        <v>32</v>
      </c>
      <c r="C23" s="27">
        <f>+C4-C22</f>
        <v>1452.75</v>
      </c>
      <c r="D23" s="26"/>
      <c r="E23" s="28"/>
    </row>
    <row r="24" spans="2:5" hidden="1" x14ac:dyDescent="0.3">
      <c r="B24" s="52" t="s">
        <v>45</v>
      </c>
      <c r="C24" s="36"/>
      <c r="D24" s="37"/>
      <c r="E24" s="37"/>
    </row>
    <row r="25" spans="2:5" x14ac:dyDescent="0.3">
      <c r="B25" s="33"/>
      <c r="C25" s="34"/>
      <c r="D25" s="35"/>
      <c r="E25" s="35"/>
    </row>
    <row r="26" spans="2:5" x14ac:dyDescent="0.3">
      <c r="B26" s="33"/>
      <c r="C26" s="34"/>
      <c r="D26" s="35"/>
    </row>
    <row r="27" spans="2:5" x14ac:dyDescent="0.3">
      <c r="B27" s="124" t="s">
        <v>64</v>
      </c>
      <c r="C27" s="124"/>
      <c r="D27" s="124"/>
      <c r="E27" s="124"/>
    </row>
    <row r="28" spans="2:5" ht="15" thickBot="1" x14ac:dyDescent="0.35">
      <c r="B28" s="119" t="s">
        <v>19</v>
      </c>
      <c r="C28" s="119"/>
      <c r="D28" s="119"/>
      <c r="E28" s="119"/>
    </row>
    <row r="29" spans="2:5" ht="15.6" x14ac:dyDescent="0.3">
      <c r="B29" s="10" t="s">
        <v>9</v>
      </c>
      <c r="C29" s="10" t="s">
        <v>6</v>
      </c>
      <c r="D29" s="11" t="s">
        <v>8</v>
      </c>
      <c r="E29" s="11" t="s">
        <v>33</v>
      </c>
    </row>
    <row r="30" spans="2:5" ht="34.5" customHeight="1" x14ac:dyDescent="0.3">
      <c r="B30" s="14" t="s">
        <v>34</v>
      </c>
      <c r="C30" s="117" t="s">
        <v>3</v>
      </c>
      <c r="D30" s="79">
        <v>1</v>
      </c>
      <c r="E30" s="79">
        <v>1</v>
      </c>
    </row>
    <row r="31" spans="2:5" ht="21" customHeight="1" x14ac:dyDescent="0.3">
      <c r="B31" s="14" t="s">
        <v>5</v>
      </c>
      <c r="C31" s="125"/>
      <c r="D31" s="79">
        <v>0.28499999999999998</v>
      </c>
      <c r="E31" s="79">
        <v>0.28499999999999998</v>
      </c>
    </row>
    <row r="32" spans="2:5" ht="21" customHeight="1" x14ac:dyDescent="0.3">
      <c r="B32" s="14" t="s">
        <v>60</v>
      </c>
      <c r="C32" s="125"/>
      <c r="D32" s="79">
        <v>0.14799999999999999</v>
      </c>
      <c r="E32" s="79">
        <v>0.14799999999999999</v>
      </c>
    </row>
    <row r="33" spans="2:5" ht="21" customHeight="1" x14ac:dyDescent="0.3">
      <c r="B33" s="14" t="s">
        <v>63</v>
      </c>
      <c r="C33" s="125"/>
      <c r="D33" s="79">
        <v>0.5</v>
      </c>
      <c r="E33" s="79">
        <v>0.5</v>
      </c>
    </row>
    <row r="34" spans="2:5" ht="29.25" customHeight="1" x14ac:dyDescent="0.3">
      <c r="B34" s="14" t="s">
        <v>80</v>
      </c>
      <c r="C34" s="118"/>
      <c r="D34" s="79">
        <v>0.33</v>
      </c>
      <c r="E34" s="79">
        <v>0.33</v>
      </c>
    </row>
    <row r="35" spans="2:5" ht="29.25" customHeight="1" x14ac:dyDescent="0.3">
      <c r="B35" s="14" t="s">
        <v>81</v>
      </c>
      <c r="C35" s="92" t="s">
        <v>2</v>
      </c>
      <c r="D35" s="79">
        <v>2.2999999999999998</v>
      </c>
      <c r="E35" s="94" t="s">
        <v>82</v>
      </c>
    </row>
    <row r="36" spans="2:5" ht="24" customHeight="1" x14ac:dyDescent="0.3">
      <c r="B36" s="14" t="s">
        <v>35</v>
      </c>
      <c r="C36" s="117" t="s">
        <v>28</v>
      </c>
      <c r="D36" s="79">
        <v>1.41</v>
      </c>
      <c r="E36" s="79">
        <v>1.41</v>
      </c>
    </row>
    <row r="37" spans="2:5" x14ac:dyDescent="0.3">
      <c r="B37" s="14" t="s">
        <v>96</v>
      </c>
      <c r="C37" s="118"/>
      <c r="D37" s="94">
        <v>1</v>
      </c>
      <c r="E37" s="94">
        <v>1</v>
      </c>
    </row>
    <row r="38" spans="2:5" ht="31.5" customHeight="1" x14ac:dyDescent="0.3">
      <c r="B38" s="14" t="s">
        <v>48</v>
      </c>
      <c r="C38" s="91" t="s">
        <v>47</v>
      </c>
      <c r="D38" s="94">
        <f>24.8*1.09</f>
        <v>27.032000000000004</v>
      </c>
      <c r="E38" s="94">
        <v>4.3600000000000003</v>
      </c>
    </row>
    <row r="39" spans="2:5" ht="30" customHeight="1" x14ac:dyDescent="0.3">
      <c r="B39" s="77" t="s">
        <v>97</v>
      </c>
      <c r="C39" s="53" t="s">
        <v>59</v>
      </c>
      <c r="D39" s="95">
        <v>1.26</v>
      </c>
      <c r="E39" s="95">
        <v>1.26</v>
      </c>
    </row>
    <row r="40" spans="2:5" ht="46.5" customHeight="1" x14ac:dyDescent="0.3">
      <c r="B40" s="77" t="s">
        <v>69</v>
      </c>
      <c r="C40" s="15" t="s">
        <v>68</v>
      </c>
      <c r="D40" s="95">
        <v>5</v>
      </c>
      <c r="E40" s="95">
        <v>0</v>
      </c>
    </row>
    <row r="41" spans="2:5" ht="21" customHeight="1" thickBot="1" x14ac:dyDescent="0.35">
      <c r="B41" s="12" t="s">
        <v>30</v>
      </c>
      <c r="C41" s="13"/>
      <c r="D41" s="96">
        <f>SUM(D30:D40)</f>
        <v>40.265000000000001</v>
      </c>
      <c r="E41" s="96">
        <f>SUM(E30:E40)</f>
        <v>10.293000000000001</v>
      </c>
    </row>
    <row r="42" spans="2:5" x14ac:dyDescent="0.3">
      <c r="B42" s="80" t="s">
        <v>93</v>
      </c>
    </row>
  </sheetData>
  <mergeCells count="9">
    <mergeCell ref="C36:C37"/>
    <mergeCell ref="B28:E28"/>
    <mergeCell ref="B1:E1"/>
    <mergeCell ref="B2:E2"/>
    <mergeCell ref="E6:E8"/>
    <mergeCell ref="D10:D11"/>
    <mergeCell ref="B15:B16"/>
    <mergeCell ref="B27:E27"/>
    <mergeCell ref="C30:C3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Grafico.Web</vt:lpstr>
      <vt:lpstr>Préstamos</vt:lpstr>
      <vt:lpstr>Donaciones</vt:lpstr>
      <vt:lpstr>Donaciones!Área_de_impresión</vt:lpstr>
      <vt:lpstr>Préstamos!Área_de_impresión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Jairon Reynaldo Baquedano Alvarez</dc:creator>
  <cp:lastModifiedBy>Misael Campos Carias</cp:lastModifiedBy>
  <cp:lastPrinted>2022-01-24T15:26:16Z</cp:lastPrinted>
  <dcterms:created xsi:type="dcterms:W3CDTF">2020-03-16T15:25:00Z</dcterms:created>
  <dcterms:modified xsi:type="dcterms:W3CDTF">2022-01-27T18:37:36Z</dcterms:modified>
</cp:coreProperties>
</file>